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linvago.sharepoint.com/sites/DrumclipSales/Gedeelde documenten/Cost Savings Tool/"/>
    </mc:Choice>
  </mc:AlternateContent>
  <xr:revisionPtr revIDLastSave="0" documentId="8_{93A5483C-7157-49AF-9A7D-2B829B32B77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Drumclip Cost Saving Calculator" sheetId="9" r:id="rId1"/>
    <sheet name="Compare your options" sheetId="4" r:id="rId2"/>
    <sheet name="Savings current vs. Drumclip" sheetId="6" r:id="rId3"/>
    <sheet name="Price Quotation" sheetId="7" r:id="rId4"/>
    <sheet name="Code table" sheetId="2" r:id="rId5"/>
  </sheets>
  <definedNames>
    <definedName name="_xlnm.Print_Area" localSheetId="0">'Drumclip Cost Saving Calculator'!$A$1:$E$80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9" l="1"/>
  <c r="B18" i="2"/>
  <c r="E45" i="9" s="1"/>
  <c r="B22" i="2"/>
  <c r="B23" i="2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21" i="2"/>
  <c r="C111" i="9"/>
  <c r="C18" i="4"/>
  <c r="F111" i="9"/>
  <c r="B111" i="9"/>
  <c r="I93" i="9"/>
  <c r="F93" i="9"/>
  <c r="C93" i="9"/>
  <c r="C67" i="9"/>
  <c r="C62" i="9"/>
  <c r="C60" i="9"/>
  <c r="C58" i="9"/>
  <c r="C55" i="9"/>
  <c r="C55" i="4"/>
  <c r="B32" i="6" s="1"/>
  <c r="C62" i="4"/>
  <c r="C67" i="4"/>
  <c r="C60" i="4"/>
  <c r="D8" i="7"/>
  <c r="C58" i="4"/>
  <c r="C65" i="4" s="1"/>
  <c r="C66" i="4" s="1"/>
  <c r="E51" i="6"/>
  <c r="A51" i="6"/>
  <c r="F47" i="6"/>
  <c r="F48" i="6" s="1"/>
  <c r="B47" i="6"/>
  <c r="B48" i="6" s="1"/>
  <c r="B44" i="6"/>
  <c r="F43" i="6"/>
  <c r="F44" i="6" s="1"/>
  <c r="O13" i="6"/>
  <c r="K13" i="6"/>
  <c r="O12" i="6"/>
  <c r="K12" i="6"/>
  <c r="O11" i="6"/>
  <c r="K11" i="6"/>
  <c r="B11" i="6"/>
  <c r="F10" i="6"/>
  <c r="F12" i="6" s="1"/>
  <c r="F14" i="6" s="1"/>
  <c r="C112" i="4"/>
  <c r="F112" i="4" s="1"/>
  <c r="B112" i="4"/>
  <c r="I94" i="4"/>
  <c r="F94" i="4"/>
  <c r="C94" i="4"/>
  <c r="I110" i="9" l="1"/>
  <c r="F110" i="9"/>
  <c r="C110" i="9"/>
  <c r="C73" i="9"/>
  <c r="C75" i="9" s="1"/>
  <c r="I106" i="9"/>
  <c r="C106" i="9"/>
  <c r="I99" i="9"/>
  <c r="I112" i="9" s="1"/>
  <c r="E45" i="4"/>
  <c r="C76" i="9"/>
  <c r="C97" i="9"/>
  <c r="C65" i="9"/>
  <c r="C66" i="9" s="1"/>
  <c r="C59" i="9"/>
  <c r="C59" i="4"/>
  <c r="B13" i="6"/>
  <c r="F17" i="6"/>
  <c r="B33" i="6" s="1"/>
  <c r="B34" i="6" s="1"/>
  <c r="C52" i="4" l="1"/>
  <c r="E113" i="4"/>
  <c r="E99" i="4"/>
  <c r="B99" i="4"/>
  <c r="B113" i="4"/>
  <c r="H99" i="4"/>
  <c r="B98" i="9"/>
  <c r="E98" i="9"/>
  <c r="H98" i="9"/>
  <c r="B112" i="9"/>
  <c r="E112" i="9"/>
  <c r="C52" i="9"/>
  <c r="C53" i="9" s="1"/>
  <c r="C98" i="9" s="1"/>
  <c r="F97" i="9"/>
  <c r="F108" i="9"/>
  <c r="F16" i="6"/>
  <c r="B15" i="6"/>
  <c r="C111" i="4"/>
  <c r="F111" i="4"/>
  <c r="I111" i="4"/>
  <c r="C73" i="4"/>
  <c r="C75" i="4" s="1"/>
  <c r="C98" i="4" s="1"/>
  <c r="I100" i="4"/>
  <c r="I113" i="4" s="1"/>
  <c r="C107" i="4"/>
  <c r="I107" i="4"/>
  <c r="C53" i="4" l="1"/>
  <c r="B3" i="6"/>
  <c r="F98" i="9"/>
  <c r="I97" i="9"/>
  <c r="C112" i="9"/>
  <c r="C114" i="9" s="1"/>
  <c r="C100" i="9"/>
  <c r="C102" i="9" s="1"/>
  <c r="B45" i="6"/>
  <c r="B17" i="6"/>
  <c r="C76" i="4"/>
  <c r="F20" i="6"/>
  <c r="B51" i="6"/>
  <c r="F33" i="6"/>
  <c r="F109" i="4"/>
  <c r="F99" i="4" l="1"/>
  <c r="F113" i="4" s="1"/>
  <c r="F115" i="4" s="1"/>
  <c r="C99" i="4"/>
  <c r="F32" i="6"/>
  <c r="F34" i="6"/>
  <c r="F51" i="6" s="1"/>
  <c r="F112" i="9"/>
  <c r="F114" i="9" s="1"/>
  <c r="F100" i="9"/>
  <c r="F102" i="9" s="1"/>
  <c r="I100" i="9"/>
  <c r="I102" i="9" s="1"/>
  <c r="I111" i="9"/>
  <c r="I114" i="9" s="1"/>
  <c r="B52" i="6"/>
  <c r="B53" i="6" s="1"/>
  <c r="G57" i="6"/>
  <c r="F98" i="4"/>
  <c r="F45" i="6"/>
  <c r="K17" i="6"/>
  <c r="O17" i="6"/>
  <c r="F22" i="6"/>
  <c r="O15" i="6"/>
  <c r="K15" i="6"/>
  <c r="K16" i="6"/>
  <c r="O16" i="6"/>
  <c r="C113" i="4" l="1"/>
  <c r="C115" i="4" s="1"/>
  <c r="C101" i="4"/>
  <c r="C103" i="4" s="1"/>
  <c r="K19" i="6"/>
  <c r="K21" i="6"/>
  <c r="F24" i="6"/>
  <c r="F57" i="6" s="1"/>
  <c r="F23" i="6"/>
  <c r="I98" i="4"/>
  <c r="F101" i="4"/>
  <c r="F103" i="4" s="1"/>
  <c r="K20" i="6"/>
  <c r="F52" i="6"/>
  <c r="F53" i="6" s="1"/>
  <c r="F56" i="6" s="1"/>
  <c r="F58" i="6"/>
  <c r="I101" i="4" l="1"/>
  <c r="I103" i="4" s="1"/>
  <c r="I112" i="4"/>
  <c r="I115" i="4" s="1"/>
</calcChain>
</file>

<file path=xl/sharedStrings.xml><?xml version="1.0" encoding="utf-8"?>
<sst xmlns="http://schemas.openxmlformats.org/spreadsheetml/2006/main" count="404" uniqueCount="192">
  <si>
    <t>Morgan Ward</t>
  </si>
  <si>
    <t>Wouter Geldhof</t>
  </si>
  <si>
    <t>mw@drumclip.nl</t>
  </si>
  <si>
    <t>wg@drumclip.nl</t>
  </si>
  <si>
    <t>Drums per site, per year:</t>
  </si>
  <si>
    <t>Sites:</t>
  </si>
  <si>
    <t>Drums per pallet:</t>
  </si>
  <si>
    <t>Type of drum:</t>
  </si>
  <si>
    <t>Plastic drums ( 200 L / 55 gallon)</t>
  </si>
  <si>
    <t>Type of drumclip:</t>
  </si>
  <si>
    <t>Drumclip to secure drums on pallets. Certified safe for transport.</t>
  </si>
  <si>
    <t>Drumclip type</t>
  </si>
  <si>
    <t>Price per Drumclip</t>
  </si>
  <si>
    <t>Signode Tenax T2220 (1 rol of 1.100 Meter)</t>
  </si>
  <si>
    <t>Price per pallet (Top pallet cargo securing)</t>
  </si>
  <si>
    <t>Number of Drums per pallet</t>
  </si>
  <si>
    <t>Number of Drumclips per pallet</t>
  </si>
  <si>
    <t xml:space="preserve">Number of pallets </t>
  </si>
  <si>
    <t xml:space="preserve">*based on Steel Drums. </t>
  </si>
  <si>
    <t>Product</t>
  </si>
  <si>
    <t>Quantity</t>
  </si>
  <si>
    <t>Details and notes</t>
  </si>
  <si>
    <t>Signode Tenax T2220</t>
  </si>
  <si>
    <t>Total meters</t>
  </si>
  <si>
    <t>Required meters of strap per pallet with Drumclip</t>
  </si>
  <si>
    <t>(Based on 2 straps, 1 vertical and 1 horizontal + 2 Drumclips - Certified load).</t>
  </si>
  <si>
    <t>Total quantity of roll Signode Tenax T2220</t>
  </si>
  <si>
    <t>1 pallet contains 24 rolls of 1.100 meter Tenax T2220</t>
  </si>
  <si>
    <t xml:space="preserve">Number of pallets Tenax T2220 </t>
  </si>
  <si>
    <t>Annual required</t>
  </si>
  <si>
    <t>* 1 Rol Tenax T2220 is about 100 pallets. (based op 2 straps, 1 vertical and 1 horizontal + 2 Drumclips)</t>
  </si>
  <si>
    <t xml:space="preserve">* Based on 11 meter strapping per pallet. </t>
  </si>
  <si>
    <t>Comparison of options</t>
  </si>
  <si>
    <t>Drumclip Strapping Package</t>
  </si>
  <si>
    <t>Reuse of the Drumclip</t>
  </si>
  <si>
    <t xml:space="preserve">Top pallets used for Transport Safety </t>
  </si>
  <si>
    <t>Initial investment Drumclip Strapping Package</t>
  </si>
  <si>
    <t>EURO €</t>
  </si>
  <si>
    <t>Signode BTX4-19 (1 pcs)</t>
  </si>
  <si>
    <t>Battery charged (1 pcs)</t>
  </si>
  <si>
    <t>Protection plate (1 pcs)</t>
  </si>
  <si>
    <t>Signode Plastic strap dispenser (1 pcs)</t>
  </si>
  <si>
    <t xml:space="preserve">Total initial investment </t>
  </si>
  <si>
    <t>One time use</t>
  </si>
  <si>
    <t xml:space="preserve">Number of Reuse of Drumclips </t>
  </si>
  <si>
    <t>Consumables One time use</t>
  </si>
  <si>
    <t>Consumables</t>
  </si>
  <si>
    <t>Signode Tenax T2220 (horizontal and vertical strap)</t>
  </si>
  <si>
    <t>Signode Tenax T2220  (only horizontal strap)</t>
  </si>
  <si>
    <t>Top pallet (Reused)</t>
  </si>
  <si>
    <t>Total Consumables</t>
  </si>
  <si>
    <t>Total</t>
  </si>
  <si>
    <t>Price  per pallet Single use of Drumclip</t>
  </si>
  <si>
    <t>Price per pallet Reuse of the Drumclips</t>
  </si>
  <si>
    <t>Price with Top Pallet securing (No drumclips)</t>
  </si>
  <si>
    <t>Number of pallets</t>
  </si>
  <si>
    <t>Times Reused</t>
  </si>
  <si>
    <t>Loss Margin</t>
  </si>
  <si>
    <t>Number of required Drumclips when Reused</t>
  </si>
  <si>
    <t>Investment in tools</t>
  </si>
  <si>
    <t>Total investment per pallet</t>
  </si>
  <si>
    <t xml:space="preserve">When pallets are used for Transport Safety, Cargo securing. </t>
  </si>
  <si>
    <t xml:space="preserve">When Drumclips are used for Transport Safety, Cargo Securing. </t>
  </si>
  <si>
    <t>Comparisation truck load</t>
  </si>
  <si>
    <t>Use of Drumclips</t>
  </si>
  <si>
    <t>Pallets on top</t>
  </si>
  <si>
    <t>Diesel / Fuel</t>
  </si>
  <si>
    <t>per liter</t>
  </si>
  <si>
    <t>Weight of a pallet</t>
  </si>
  <si>
    <t>kg</t>
  </si>
  <si>
    <t>Consumption / Avg.</t>
  </si>
  <si>
    <t>km per liter</t>
  </si>
  <si>
    <t>Number of pallets in a full Truck Load (FTL)</t>
  </si>
  <si>
    <t>pcs</t>
  </si>
  <si>
    <t>Total weight of TOP pallets in a FTL</t>
  </si>
  <si>
    <t>Kg</t>
  </si>
  <si>
    <t xml:space="preserve">Cost at 200 Km. </t>
  </si>
  <si>
    <t>Number of Drumclips per FTL</t>
  </si>
  <si>
    <r>
      <t xml:space="preserve">Number of Drums annual - </t>
    </r>
    <r>
      <rPr>
        <b/>
        <sz val="11"/>
        <color theme="1"/>
        <rFont val="Calibri"/>
        <family val="2"/>
      </rPr>
      <t>Per plant per year</t>
    </r>
  </si>
  <si>
    <t xml:space="preserve">Cost at 1000 Km. </t>
  </si>
  <si>
    <t>Number of drums in a FTL</t>
  </si>
  <si>
    <t>Total weight of Drumclips used for Cargo Securing</t>
  </si>
  <si>
    <t>Number of trucks needed annual</t>
  </si>
  <si>
    <t>Loads</t>
  </si>
  <si>
    <t>Annual Cost at 200 Km</t>
  </si>
  <si>
    <t>Number of Drums annual</t>
  </si>
  <si>
    <t>Annual Cost at 500 Km</t>
  </si>
  <si>
    <t>Total weight of TOP pallets for Cargo securing annual</t>
  </si>
  <si>
    <t>Number of pallets annual</t>
  </si>
  <si>
    <t>Annual Cost at 1000 Km</t>
  </si>
  <si>
    <t>Number of pallets with Drums a FTL</t>
  </si>
  <si>
    <t>Saving 200km</t>
  </si>
  <si>
    <t>Year</t>
  </si>
  <si>
    <t xml:space="preserve"> </t>
  </si>
  <si>
    <t>loads</t>
  </si>
  <si>
    <t>Saving 500 Km</t>
  </si>
  <si>
    <t>Saving 1000Km</t>
  </si>
  <si>
    <t>Total weight of Drumclips needed for Cargo securing Annual</t>
  </si>
  <si>
    <t>Weight reduction because of use Drumclips in Kilogram</t>
  </si>
  <si>
    <t>Weight reduction because of use Drumclips in Percentage</t>
  </si>
  <si>
    <t>Investment when TOP pallet are used for Transport Safety</t>
  </si>
  <si>
    <t>Investement when Drumclips are used for Transport Safety</t>
  </si>
  <si>
    <t xml:space="preserve">Price per pallet </t>
  </si>
  <si>
    <t>Price per Drumclip DC19B GREEN</t>
  </si>
  <si>
    <t>Number of needed pallets annual</t>
  </si>
  <si>
    <t>yearly</t>
  </si>
  <si>
    <t>Number of Drumclips needed</t>
  </si>
  <si>
    <t xml:space="preserve">Total investment of TOP pallets </t>
  </si>
  <si>
    <t>Total investment of Drumclips (one time use)</t>
  </si>
  <si>
    <t>cost of Operator time</t>
  </si>
  <si>
    <t xml:space="preserve">Costing </t>
  </si>
  <si>
    <t>Current situation, when TOP pallets are used</t>
  </si>
  <si>
    <t>New situation when Drumclips are used</t>
  </si>
  <si>
    <t xml:space="preserve">Time needed to load a FTL </t>
  </si>
  <si>
    <t>minutes</t>
  </si>
  <si>
    <t>Rate employee yard</t>
  </si>
  <si>
    <t>hourly</t>
  </si>
  <si>
    <t>Total cost per FTL to load</t>
  </si>
  <si>
    <t>Total cost Employe to load a FTL Annual when TOP pallet used</t>
  </si>
  <si>
    <t>Total cost Employe to load a FTL Annual when Drumclips are used</t>
  </si>
  <si>
    <t>Number of FTL hourly based</t>
  </si>
  <si>
    <t>Number of FTL daily based</t>
  </si>
  <si>
    <t>+</t>
  </si>
  <si>
    <t>Total cost when TOP Pallets are used for Transport Safety</t>
  </si>
  <si>
    <t>Total cost when Drumclips are used for Transport Safety</t>
  </si>
  <si>
    <t>Saving when Drumclips are used for Transport Safety in EURO</t>
  </si>
  <si>
    <t>Saving when Drumclips are used for Transport Safety in Percentage</t>
  </si>
  <si>
    <t>Saving when Drumclips are used for Transport Safety/Empolye</t>
  </si>
  <si>
    <t>THEN</t>
  </si>
  <si>
    <t>IF</t>
  </si>
  <si>
    <t>DRUMCLIP TYPE</t>
  </si>
  <si>
    <t>DRUM TYPE</t>
  </si>
  <si>
    <t>DC18A Red</t>
  </si>
  <si>
    <t>Tighthead standard drum with ring closure (200L / 55 gallon)</t>
  </si>
  <si>
    <t>DC19B Green</t>
  </si>
  <si>
    <t>Openhead standard drum with ring closure (200L / 55 gallon)</t>
  </si>
  <si>
    <t>DC23C Orange</t>
  </si>
  <si>
    <t>Openhead ISO drum with ring closure (200L / 55 gallon)</t>
  </si>
  <si>
    <t>Openhead ISO drums with broader ring closure used for intermodal / sea transport (200 L / 55 gallon)</t>
  </si>
  <si>
    <t>Kegs (50L 13.2 gallons)</t>
  </si>
  <si>
    <t>Drums per pallet</t>
  </si>
  <si>
    <t>Type</t>
  </si>
  <si>
    <t>Quantity per type of Drumclip</t>
  </si>
  <si>
    <t>DC18A RED</t>
  </si>
  <si>
    <t>DC19B GREEN</t>
  </si>
  <si>
    <t>DC23C ORANGE</t>
  </si>
  <si>
    <r>
      <t xml:space="preserve">Drums - </t>
    </r>
    <r>
      <rPr>
        <b/>
        <sz val="11"/>
        <color theme="1"/>
        <rFont val="Calibri"/>
        <family val="2"/>
        <scheme val="minor"/>
      </rPr>
      <t>Per plant per year</t>
    </r>
  </si>
  <si>
    <t xml:space="preserve">Drumclips required (2 per pallet) </t>
  </si>
  <si>
    <t>Pallets per site per year:</t>
  </si>
  <si>
    <t>Cost-savings benefit</t>
  </si>
  <si>
    <t>Here is the information, calculations and a comparison of Drumclip with your current method:</t>
  </si>
  <si>
    <t>Chr, Huygensstraat 3</t>
  </si>
  <si>
    <t>3261LR Oud-Beijerland</t>
  </si>
  <si>
    <t>The Netherlands</t>
  </si>
  <si>
    <t>T: 00316-41170070</t>
  </si>
  <si>
    <t>@: info@drumclip.nl</t>
  </si>
  <si>
    <t>IBAN: NL40INGB0008185033</t>
  </si>
  <si>
    <t>C.o.C.: 71123857</t>
  </si>
  <si>
    <t>VAT: NL 8585.88.419.B01</t>
  </si>
  <si>
    <t>Tel.: +31641170070</t>
  </si>
  <si>
    <t>Tel.:  +31624708085</t>
  </si>
  <si>
    <t>Claudia Belotti</t>
  </si>
  <si>
    <t>Transport Safety Expert EMEA &amp; APAC</t>
  </si>
  <si>
    <t>Caleppio 1</t>
  </si>
  <si>
    <t>Via Achille Grandi 3</t>
  </si>
  <si>
    <t>I-20049  Caleppio di Settala (MI)</t>
  </si>
  <si>
    <t>Office:   +39 02 95790219</t>
  </si>
  <si>
    <t>Mobile:  +39 342 7553096</t>
  </si>
  <si>
    <t>claudia.belotti@sunchemical.com</t>
  </si>
  <si>
    <t>Savings with Drumclip type:</t>
  </si>
  <si>
    <t>Quote validity for 30 days from quote date:</t>
  </si>
  <si>
    <t>Pricing based on 2026</t>
  </si>
  <si>
    <t>Customer / Project</t>
  </si>
  <si>
    <t>Adress</t>
  </si>
  <si>
    <t>Contact person</t>
  </si>
  <si>
    <t>Contact info</t>
  </si>
  <si>
    <t>Questions? Our Contact info</t>
  </si>
  <si>
    <t>(Based on ordering 24 rols of 1100meter/ Full pallet)</t>
  </si>
  <si>
    <t>Annual requirement total - per plant</t>
  </si>
  <si>
    <t>Annual requirement total all plants</t>
  </si>
  <si>
    <t>Price you per pallet:</t>
  </si>
  <si>
    <t>Check current method. Compare the cost-saving method to secure your drums with Drumclip</t>
  </si>
  <si>
    <t>Fill-in to make your calculation tool</t>
  </si>
  <si>
    <t>Drumclip is a patented trademark brand of Invago B.V.</t>
  </si>
  <si>
    <t>Drumclip | Invago B.V.</t>
  </si>
  <si>
    <t>All set! Thank you. See your calculations and results here:</t>
  </si>
  <si>
    <t>Drumclip Strapping Package: Single Use</t>
  </si>
  <si>
    <t>Price you pay per pallet:</t>
  </si>
  <si>
    <t>How many sites:</t>
  </si>
  <si>
    <t>Price discount above 20 sites / locations. Please get in touch with us.</t>
  </si>
  <si>
    <t>Compare the options</t>
  </si>
  <si>
    <t>Drumclip Strapping Package: Reuse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</si>
</sst>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 * #,##0_ ;_ * \-#,##0_ ;_ * &quot;-&quot;??_ ;_ @_ "/>
    <numFmt numFmtId="166" formatCode="_ * #,##0.0_ ;_ * \-#,##0.0_ ;_ * &quot;-&quot;??_ ;_ @_ "/>
    <numFmt numFmtId="167" formatCode="0.000%"/>
    <numFmt numFmtId="168" formatCode="&quot;€&quot;\ #,##0.00"/>
    <numFmt numFmtId="169" formatCode="[$-F800]dddd\,\ mmmm\ dd\,\ yyyy"/>
  </numFmts>
  <fonts count="41" x14ac:knownFonts="1">
    <font>
      <sz val="11"/>
      <color theme="1"/>
      <name val="Aptos Narrow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1"/>
      <color theme="1"/>
      <name val="Calibri"/>
      <family val="2"/>
    </font>
    <font>
      <b/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color rgb="FFFF0000"/>
      <name val="Aptos Narrow"/>
      <family val="2"/>
    </font>
    <font>
      <sz val="11"/>
      <name val="Calibri"/>
      <family val="2"/>
    </font>
    <font>
      <sz val="11"/>
      <color theme="10"/>
      <name val="Aptos Narrow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8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</font>
    <font>
      <b/>
      <sz val="16"/>
      <color theme="1"/>
      <name val="Calibri"/>
      <family val="2"/>
    </font>
    <font>
      <i/>
      <sz val="11"/>
      <color theme="1"/>
      <name val="Calibri"/>
      <family val="2"/>
    </font>
    <font>
      <sz val="9"/>
      <color theme="1"/>
      <name val="Cambria"/>
      <family val="1"/>
    </font>
    <font>
      <sz val="8"/>
      <color theme="1"/>
      <name val="Cambria"/>
      <family val="1"/>
    </font>
    <font>
      <sz val="9"/>
      <color rgb="FF943634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20"/>
      <color theme="1"/>
      <name val="Calibri"/>
      <family val="2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b/>
      <sz val="18"/>
      <color theme="1"/>
      <name val="Cambria"/>
      <family val="1"/>
    </font>
    <font>
      <sz val="11"/>
      <color theme="10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  <fill>
      <patternFill patternType="solid">
        <fgColor theme="2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5" tint="0.79992065187536243"/>
        <bgColor indexed="65"/>
      </patternFill>
    </fill>
    <fill>
      <patternFill patternType="solid">
        <fgColor rgb="FF92D050"/>
      </patternFill>
    </fill>
    <fill>
      <patternFill patternType="solid">
        <fgColor theme="0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CADBD7"/>
      </patternFill>
    </fill>
    <fill>
      <patternFill patternType="solid">
        <f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164" fontId="2" fillId="4" borderId="0" xfId="0" applyNumberFormat="1" applyFont="1" applyFill="1"/>
    <xf numFmtId="0" fontId="2" fillId="4" borderId="0" xfId="0" applyFont="1" applyFill="1"/>
    <xf numFmtId="164" fontId="2" fillId="0" borderId="0" xfId="0" applyNumberFormat="1" applyFont="1"/>
    <xf numFmtId="165" fontId="2" fillId="0" borderId="0" xfId="1" applyNumberFormat="1" applyFont="1" applyBorder="1"/>
    <xf numFmtId="167" fontId="2" fillId="0" borderId="19" xfId="2" applyNumberFormat="1" applyFont="1" applyBorder="1"/>
    <xf numFmtId="164" fontId="5" fillId="0" borderId="0" xfId="0" applyNumberFormat="1" applyFont="1"/>
    <xf numFmtId="0" fontId="4" fillId="0" borderId="18" xfId="0" applyFont="1" applyBorder="1"/>
    <xf numFmtId="0" fontId="4" fillId="0" borderId="20" xfId="0" applyFont="1" applyBorder="1"/>
    <xf numFmtId="166" fontId="4" fillId="0" borderId="21" xfId="0" applyNumberFormat="1" applyFont="1" applyBorder="1"/>
    <xf numFmtId="0" fontId="4" fillId="0" borderId="21" xfId="0" applyFont="1" applyBorder="1"/>
    <xf numFmtId="0" fontId="2" fillId="0" borderId="22" xfId="0" applyFont="1" applyBorder="1"/>
    <xf numFmtId="0" fontId="2" fillId="0" borderId="21" xfId="0" applyFont="1" applyBorder="1"/>
    <xf numFmtId="165" fontId="2" fillId="0" borderId="0" xfId="0" applyNumberFormat="1" applyFont="1"/>
    <xf numFmtId="0" fontId="2" fillId="0" borderId="20" xfId="0" applyFont="1" applyBorder="1"/>
    <xf numFmtId="164" fontId="6" fillId="0" borderId="0" xfId="0" applyNumberFormat="1" applyFont="1"/>
    <xf numFmtId="0" fontId="2" fillId="0" borderId="15" xfId="0" applyFont="1" applyBorder="1"/>
    <xf numFmtId="165" fontId="2" fillId="0" borderId="16" xfId="0" applyNumberFormat="1" applyFont="1" applyBorder="1"/>
    <xf numFmtId="0" fontId="2" fillId="2" borderId="0" xfId="0" applyFont="1" applyFill="1"/>
    <xf numFmtId="164" fontId="4" fillId="0" borderId="0" xfId="0" applyNumberFormat="1" applyFont="1"/>
    <xf numFmtId="43" fontId="2" fillId="0" borderId="0" xfId="0" applyNumberFormat="1" applyFont="1"/>
    <xf numFmtId="43" fontId="2" fillId="0" borderId="0" xfId="1" applyFont="1" applyBorder="1"/>
    <xf numFmtId="0" fontId="7" fillId="0" borderId="0" xfId="0" applyFont="1"/>
    <xf numFmtId="0" fontId="7" fillId="0" borderId="19" xfId="0" applyFont="1" applyBorder="1"/>
    <xf numFmtId="164" fontId="7" fillId="0" borderId="0" xfId="0" applyNumberFormat="1" applyFont="1"/>
    <xf numFmtId="0" fontId="7" fillId="0" borderId="18" xfId="0" applyFont="1" applyBorder="1"/>
    <xf numFmtId="0" fontId="7" fillId="0" borderId="21" xfId="0" applyFont="1" applyBorder="1"/>
    <xf numFmtId="0" fontId="7" fillId="0" borderId="22" xfId="0" applyFont="1" applyBorder="1"/>
    <xf numFmtId="164" fontId="6" fillId="0" borderId="21" xfId="0" applyNumberFormat="1" applyFont="1" applyBorder="1"/>
    <xf numFmtId="164" fontId="10" fillId="0" borderId="0" xfId="0" applyNumberFormat="1" applyFont="1"/>
    <xf numFmtId="164" fontId="10" fillId="0" borderId="21" xfId="1" applyNumberFormat="1" applyFont="1" applyFill="1" applyBorder="1"/>
    <xf numFmtId="10" fontId="2" fillId="0" borderId="0" xfId="2" applyNumberFormat="1" applyFont="1" applyBorder="1"/>
    <xf numFmtId="165" fontId="2" fillId="0" borderId="19" xfId="0" applyNumberFormat="1" applyFont="1" applyBorder="1"/>
    <xf numFmtId="0" fontId="10" fillId="0" borderId="0" xfId="0" applyFont="1"/>
    <xf numFmtId="164" fontId="8" fillId="5" borderId="0" xfId="0" applyNumberFormat="1" applyFont="1" applyFill="1"/>
    <xf numFmtId="164" fontId="10" fillId="5" borderId="0" xfId="0" applyNumberFormat="1" applyFont="1" applyFill="1"/>
    <xf numFmtId="164" fontId="10" fillId="6" borderId="0" xfId="0" applyNumberFormat="1" applyFont="1" applyFill="1"/>
    <xf numFmtId="0" fontId="2" fillId="0" borderId="0" xfId="0" applyFont="1" applyAlignment="1">
      <alignment horizontal="center"/>
    </xf>
    <xf numFmtId="0" fontId="10" fillId="0" borderId="20" xfId="0" applyFont="1" applyBorder="1"/>
    <xf numFmtId="164" fontId="2" fillId="9" borderId="0" xfId="0" applyNumberFormat="1" applyFont="1" applyFill="1"/>
    <xf numFmtId="0" fontId="2" fillId="0" borderId="4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" fillId="0" borderId="6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10" xfId="0" applyFont="1" applyBorder="1"/>
    <xf numFmtId="0" fontId="13" fillId="0" borderId="8" xfId="0" applyFont="1" applyBorder="1" applyAlignment="1">
      <alignment horizontal="center"/>
    </xf>
    <xf numFmtId="0" fontId="1" fillId="0" borderId="8" xfId="0" applyFont="1" applyBorder="1"/>
    <xf numFmtId="43" fontId="13" fillId="0" borderId="8" xfId="1" applyFont="1" applyFill="1" applyBorder="1" applyAlignment="1">
      <alignment horizontal="center"/>
    </xf>
    <xf numFmtId="165" fontId="13" fillId="0" borderId="0" xfId="1" applyNumberFormat="1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43" fontId="1" fillId="0" borderId="0" xfId="1" applyFont="1" applyBorder="1" applyAlignment="1">
      <alignment horizontal="left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7" xfId="0" applyFont="1" applyFill="1" applyBorder="1"/>
    <xf numFmtId="0" fontId="1" fillId="0" borderId="2" xfId="0" applyFont="1" applyBorder="1"/>
    <xf numFmtId="43" fontId="1" fillId="0" borderId="2" xfId="0" applyNumberFormat="1" applyFont="1" applyBorder="1" applyAlignment="1">
      <alignment horizontal="right"/>
    </xf>
    <xf numFmtId="43" fontId="1" fillId="0" borderId="6" xfId="0" applyNumberFormat="1" applyFont="1" applyBorder="1" applyAlignment="1">
      <alignment horizontal="right"/>
    </xf>
    <xf numFmtId="0" fontId="1" fillId="0" borderId="7" xfId="0" applyFont="1" applyBorder="1"/>
    <xf numFmtId="0" fontId="1" fillId="8" borderId="3" xfId="0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4" xfId="0" applyFont="1" applyBorder="1"/>
    <xf numFmtId="43" fontId="13" fillId="0" borderId="4" xfId="0" applyNumberFormat="1" applyFont="1" applyBorder="1" applyAlignment="1">
      <alignment horizontal="right"/>
    </xf>
    <xf numFmtId="43" fontId="13" fillId="0" borderId="10" xfId="0" applyNumberFormat="1" applyFont="1" applyBorder="1" applyAlignment="1">
      <alignment horizontal="right"/>
    </xf>
    <xf numFmtId="43" fontId="1" fillId="0" borderId="11" xfId="0" applyNumberFormat="1" applyFont="1" applyBorder="1"/>
    <xf numFmtId="43" fontId="13" fillId="0" borderId="1" xfId="0" applyNumberFormat="1" applyFont="1" applyBorder="1" applyAlignment="1">
      <alignment horizontal="right"/>
    </xf>
    <xf numFmtId="43" fontId="13" fillId="0" borderId="12" xfId="0" applyNumberFormat="1" applyFont="1" applyBorder="1" applyAlignment="1">
      <alignment horizontal="right"/>
    </xf>
    <xf numFmtId="0" fontId="17" fillId="0" borderId="0" xfId="0" applyFont="1"/>
    <xf numFmtId="0" fontId="1" fillId="0" borderId="11" xfId="0" applyFont="1" applyBorder="1" applyAlignment="1">
      <alignment horizontal="right"/>
    </xf>
    <xf numFmtId="0" fontId="13" fillId="0" borderId="6" xfId="0" applyFont="1" applyBorder="1"/>
    <xf numFmtId="0" fontId="13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3" fillId="0" borderId="10" xfId="0" applyFont="1" applyBorder="1"/>
    <xf numFmtId="164" fontId="13" fillId="0" borderId="4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0" fontId="13" fillId="0" borderId="8" xfId="0" applyFont="1" applyBorder="1"/>
    <xf numFmtId="164" fontId="13" fillId="0" borderId="9" xfId="0" applyNumberFormat="1" applyFont="1" applyBorder="1" applyAlignment="1">
      <alignment horizontal="right"/>
    </xf>
    <xf numFmtId="43" fontId="1" fillId="0" borderId="9" xfId="1" applyFont="1" applyBorder="1" applyAlignment="1">
      <alignment horizontal="right"/>
    </xf>
    <xf numFmtId="0" fontId="1" fillId="7" borderId="3" xfId="0" applyFont="1" applyFill="1" applyBorder="1"/>
    <xf numFmtId="164" fontId="13" fillId="0" borderId="3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13" fillId="0" borderId="5" xfId="0" applyFont="1" applyBorder="1"/>
    <xf numFmtId="164" fontId="13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165" fontId="13" fillId="0" borderId="2" xfId="1" applyNumberFormat="1" applyFont="1" applyBorder="1"/>
    <xf numFmtId="165" fontId="13" fillId="0" borderId="3" xfId="1" applyNumberFormat="1" applyFont="1" applyBorder="1"/>
    <xf numFmtId="0" fontId="1" fillId="4" borderId="2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9" fontId="1" fillId="4" borderId="3" xfId="0" applyNumberFormat="1" applyFont="1" applyFill="1" applyBorder="1" applyAlignment="1">
      <alignment horizontal="right"/>
    </xf>
    <xf numFmtId="165" fontId="1" fillId="0" borderId="3" xfId="1" applyNumberFormat="1" applyFont="1" applyBorder="1" applyAlignment="1">
      <alignment horizontal="right"/>
    </xf>
    <xf numFmtId="0" fontId="13" fillId="0" borderId="3" xfId="0" applyFont="1" applyBorder="1" applyAlignment="1">
      <alignment horizontal="left"/>
    </xf>
    <xf numFmtId="164" fontId="1" fillId="0" borderId="3" xfId="0" applyNumberFormat="1" applyFont="1" applyBorder="1"/>
    <xf numFmtId="0" fontId="13" fillId="0" borderId="4" xfId="0" applyFont="1" applyBorder="1"/>
    <xf numFmtId="0" fontId="14" fillId="0" borderId="0" xfId="3" applyFont="1" applyAlignment="1">
      <alignment horizontal="right"/>
    </xf>
    <xf numFmtId="0" fontId="1" fillId="0" borderId="38" xfId="0" applyFont="1" applyBorder="1" applyAlignment="1">
      <alignment horizontal="right"/>
    </xf>
    <xf numFmtId="0" fontId="1" fillId="0" borderId="45" xfId="0" applyFont="1" applyBorder="1"/>
    <xf numFmtId="164" fontId="16" fillId="0" borderId="38" xfId="0" applyNumberFormat="1" applyFont="1" applyBorder="1" applyAlignment="1">
      <alignment horizontal="right"/>
    </xf>
    <xf numFmtId="164" fontId="16" fillId="0" borderId="45" xfId="0" applyNumberFormat="1" applyFont="1" applyBorder="1" applyAlignment="1">
      <alignment horizontal="right"/>
    </xf>
    <xf numFmtId="0" fontId="1" fillId="0" borderId="39" xfId="0" applyFont="1" applyBorder="1"/>
    <xf numFmtId="0" fontId="1" fillId="0" borderId="44" xfId="0" applyFont="1" applyBorder="1"/>
    <xf numFmtId="0" fontId="1" fillId="0" borderId="40" xfId="0" applyFont="1" applyBorder="1"/>
    <xf numFmtId="0" fontId="1" fillId="4" borderId="41" xfId="0" applyFont="1" applyFill="1" applyBorder="1"/>
    <xf numFmtId="0" fontId="1" fillId="0" borderId="42" xfId="0" applyFont="1" applyBorder="1"/>
    <xf numFmtId="0" fontId="1" fillId="0" borderId="43" xfId="0" applyFont="1" applyBorder="1"/>
    <xf numFmtId="0" fontId="15" fillId="0" borderId="0" xfId="3" applyFont="1" applyAlignment="1">
      <alignment horizontal="right"/>
    </xf>
    <xf numFmtId="0" fontId="18" fillId="0" borderId="0" xfId="3" applyFont="1"/>
    <xf numFmtId="164" fontId="15" fillId="0" borderId="39" xfId="0" applyNumberFormat="1" applyFont="1" applyBorder="1"/>
    <xf numFmtId="164" fontId="15" fillId="0" borderId="44" xfId="0" applyNumberFormat="1" applyFont="1" applyBorder="1"/>
    <xf numFmtId="0" fontId="15" fillId="0" borderId="38" xfId="3" applyFont="1" applyBorder="1" applyAlignment="1">
      <alignment horizontal="right"/>
    </xf>
    <xf numFmtId="0" fontId="17" fillId="0" borderId="38" xfId="0" applyFont="1" applyBorder="1"/>
    <xf numFmtId="0" fontId="22" fillId="0" borderId="0" xfId="0" applyFont="1"/>
    <xf numFmtId="0" fontId="1" fillId="0" borderId="27" xfId="0" applyFont="1" applyBorder="1"/>
    <xf numFmtId="0" fontId="1" fillId="0" borderId="12" xfId="0" applyFont="1" applyBorder="1"/>
    <xf numFmtId="43" fontId="13" fillId="0" borderId="38" xfId="1" applyFont="1" applyFill="1" applyBorder="1" applyAlignment="1">
      <alignment horizontal="center"/>
    </xf>
    <xf numFmtId="165" fontId="13" fillId="0" borderId="38" xfId="1" applyNumberFormat="1" applyFont="1" applyFill="1" applyBorder="1" applyAlignment="1">
      <alignment horizontal="left"/>
    </xf>
    <xf numFmtId="165" fontId="13" fillId="3" borderId="25" xfId="1" applyNumberFormat="1" applyFont="1" applyFill="1" applyBorder="1" applyAlignment="1">
      <alignment horizontal="center"/>
    </xf>
    <xf numFmtId="165" fontId="1" fillId="0" borderId="28" xfId="1" applyNumberFormat="1" applyFont="1" applyBorder="1" applyAlignment="1">
      <alignment horizontal="left"/>
    </xf>
    <xf numFmtId="0" fontId="23" fillId="0" borderId="38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15" fillId="0" borderId="38" xfId="3" applyFont="1" applyBorder="1"/>
    <xf numFmtId="0" fontId="15" fillId="12" borderId="41" xfId="3" applyFont="1" applyFill="1" applyBorder="1" applyAlignment="1">
      <alignment horizontal="right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" fillId="13" borderId="13" xfId="0" applyFont="1" applyFill="1" applyBorder="1"/>
    <xf numFmtId="0" fontId="2" fillId="13" borderId="30" xfId="0" applyFont="1" applyFill="1" applyBorder="1"/>
    <xf numFmtId="0" fontId="2" fillId="13" borderId="14" xfId="0" applyFont="1" applyFill="1" applyBorder="1"/>
    <xf numFmtId="0" fontId="29" fillId="13" borderId="13" xfId="0" applyFont="1" applyFill="1" applyBorder="1"/>
    <xf numFmtId="0" fontId="29" fillId="13" borderId="30" xfId="0" applyFont="1" applyFill="1" applyBorder="1"/>
    <xf numFmtId="0" fontId="29" fillId="13" borderId="31" xfId="0" applyFont="1" applyFill="1" applyBorder="1"/>
    <xf numFmtId="0" fontId="29" fillId="13" borderId="14" xfId="0" applyFont="1" applyFill="1" applyBorder="1"/>
    <xf numFmtId="0" fontId="12" fillId="13" borderId="5" xfId="0" applyFont="1" applyFill="1" applyBorder="1"/>
    <xf numFmtId="0" fontId="12" fillId="13" borderId="13" xfId="0" applyFont="1" applyFill="1" applyBorder="1"/>
    <xf numFmtId="0" fontId="23" fillId="0" borderId="0" xfId="0" applyFont="1" applyAlignment="1">
      <alignment horizontal="left"/>
    </xf>
    <xf numFmtId="0" fontId="20" fillId="13" borderId="13" xfId="0" applyFont="1" applyFill="1" applyBorder="1"/>
    <xf numFmtId="0" fontId="20" fillId="13" borderId="30" xfId="0" applyFont="1" applyFill="1" applyBorder="1"/>
    <xf numFmtId="0" fontId="20" fillId="13" borderId="14" xfId="0" applyFont="1" applyFill="1" applyBorder="1"/>
    <xf numFmtId="0" fontId="20" fillId="0" borderId="0" xfId="0" applyFont="1"/>
    <xf numFmtId="164" fontId="20" fillId="0" borderId="0" xfId="0" applyNumberFormat="1" applyFont="1"/>
    <xf numFmtId="0" fontId="2" fillId="0" borderId="38" xfId="0" applyFont="1" applyBorder="1"/>
    <xf numFmtId="0" fontId="4" fillId="0" borderId="38" xfId="0" applyFont="1" applyBorder="1"/>
    <xf numFmtId="0" fontId="12" fillId="13" borderId="40" xfId="0" applyFont="1" applyFill="1" applyBorder="1"/>
    <xf numFmtId="164" fontId="7" fillId="4" borderId="38" xfId="0" applyNumberFormat="1" applyFont="1" applyFill="1" applyBorder="1"/>
    <xf numFmtId="164" fontId="7" fillId="0" borderId="38" xfId="0" applyNumberFormat="1" applyFont="1" applyBorder="1"/>
    <xf numFmtId="165" fontId="2" fillId="0" borderId="38" xfId="0" applyNumberFormat="1" applyFont="1" applyBorder="1"/>
    <xf numFmtId="164" fontId="9" fillId="0" borderId="38" xfId="0" applyNumberFormat="1" applyFont="1" applyBorder="1"/>
    <xf numFmtId="0" fontId="29" fillId="13" borderId="40" xfId="0" applyFont="1" applyFill="1" applyBorder="1"/>
    <xf numFmtId="0" fontId="2" fillId="2" borderId="38" xfId="0" applyFont="1" applyFill="1" applyBorder="1"/>
    <xf numFmtId="165" fontId="4" fillId="0" borderId="38" xfId="1" applyNumberFormat="1" applyFont="1" applyFill="1" applyBorder="1"/>
    <xf numFmtId="165" fontId="2" fillId="2" borderId="38" xfId="1" applyNumberFormat="1" applyFont="1" applyFill="1" applyBorder="1"/>
    <xf numFmtId="166" fontId="4" fillId="0" borderId="38" xfId="1" applyNumberFormat="1" applyFont="1" applyBorder="1"/>
    <xf numFmtId="165" fontId="2" fillId="0" borderId="38" xfId="1" applyNumberFormat="1" applyFont="1" applyFill="1" applyBorder="1"/>
    <xf numFmtId="165" fontId="4" fillId="0" borderId="38" xfId="0" applyNumberFormat="1" applyFont="1" applyBorder="1"/>
    <xf numFmtId="165" fontId="2" fillId="0" borderId="38" xfId="1" applyNumberFormat="1" applyFont="1" applyBorder="1"/>
    <xf numFmtId="166" fontId="4" fillId="0" borderId="38" xfId="0" applyNumberFormat="1" applyFont="1" applyBorder="1"/>
    <xf numFmtId="10" fontId="4" fillId="0" borderId="38" xfId="2" applyNumberFormat="1" applyFont="1" applyBorder="1"/>
    <xf numFmtId="167" fontId="2" fillId="0" borderId="38" xfId="2" applyNumberFormat="1" applyFont="1" applyBorder="1"/>
    <xf numFmtId="0" fontId="30" fillId="10" borderId="1" xfId="0" applyFont="1" applyFill="1" applyBorder="1" applyAlignment="1">
      <alignment horizontal="center" vertical="center"/>
    </xf>
    <xf numFmtId="0" fontId="30" fillId="10" borderId="13" xfId="0" applyFont="1" applyFill="1" applyBorder="1" applyAlignment="1">
      <alignment horizontal="center"/>
    </xf>
    <xf numFmtId="0" fontId="30" fillId="10" borderId="13" xfId="0" applyFont="1" applyFill="1" applyBorder="1" applyAlignment="1">
      <alignment vertical="center"/>
    </xf>
    <xf numFmtId="0" fontId="30" fillId="10" borderId="14" xfId="0" applyFont="1" applyFill="1" applyBorder="1" applyAlignment="1">
      <alignment vertical="center"/>
    </xf>
    <xf numFmtId="0" fontId="30" fillId="10" borderId="1" xfId="0" applyFont="1" applyFill="1" applyBorder="1"/>
    <xf numFmtId="0" fontId="30" fillId="10" borderId="30" xfId="0" applyFont="1" applyFill="1" applyBorder="1"/>
    <xf numFmtId="165" fontId="30" fillId="10" borderId="32" xfId="1" applyNumberFormat="1" applyFont="1" applyFill="1" applyBorder="1"/>
    <xf numFmtId="165" fontId="30" fillId="10" borderId="26" xfId="1" applyNumberFormat="1" applyFont="1" applyFill="1" applyBorder="1"/>
    <xf numFmtId="164" fontId="31" fillId="10" borderId="33" xfId="0" applyNumberFormat="1" applyFont="1" applyFill="1" applyBorder="1"/>
    <xf numFmtId="0" fontId="32" fillId="0" borderId="22" xfId="0" applyFont="1" applyBorder="1"/>
    <xf numFmtId="164" fontId="30" fillId="11" borderId="34" xfId="0" applyNumberFormat="1" applyFont="1" applyFill="1" applyBorder="1"/>
    <xf numFmtId="164" fontId="31" fillId="10" borderId="35" xfId="0" applyNumberFormat="1" applyFont="1" applyFill="1" applyBorder="1"/>
    <xf numFmtId="0" fontId="32" fillId="0" borderId="36" xfId="0" applyFont="1" applyBorder="1"/>
    <xf numFmtId="164" fontId="31" fillId="10" borderId="28" xfId="0" applyNumberFormat="1" applyFont="1" applyFill="1" applyBorder="1"/>
    <xf numFmtId="0" fontId="32" fillId="0" borderId="37" xfId="0" applyFont="1" applyBorder="1"/>
    <xf numFmtId="169" fontId="1" fillId="0" borderId="0" xfId="0" applyNumberFormat="1" applyFont="1" applyAlignment="1">
      <alignment horizontal="right" vertical="top"/>
    </xf>
    <xf numFmtId="0" fontId="1" fillId="0" borderId="38" xfId="0" applyFont="1" applyBorder="1"/>
    <xf numFmtId="0" fontId="4" fillId="0" borderId="2" xfId="0" applyFont="1" applyBorder="1"/>
    <xf numFmtId="0" fontId="4" fillId="0" borderId="39" xfId="0" applyFont="1" applyBorder="1"/>
    <xf numFmtId="0" fontId="4" fillId="0" borderId="44" xfId="0" applyFont="1" applyBorder="1" applyAlignment="1">
      <alignment horizontal="left"/>
    </xf>
    <xf numFmtId="0" fontId="17" fillId="12" borderId="42" xfId="0" applyFont="1" applyFill="1" applyBorder="1"/>
    <xf numFmtId="0" fontId="1" fillId="12" borderId="45" xfId="0" applyFont="1" applyFill="1" applyBorder="1"/>
    <xf numFmtId="0" fontId="1" fillId="12" borderId="9" xfId="0" applyFont="1" applyFill="1" applyBorder="1" applyAlignment="1">
      <alignment horizontal="left"/>
    </xf>
    <xf numFmtId="14" fontId="1" fillId="12" borderId="9" xfId="0" applyNumberFormat="1" applyFont="1" applyFill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4" fillId="12" borderId="45" xfId="0" applyFont="1" applyFill="1" applyBorder="1"/>
    <xf numFmtId="49" fontId="1" fillId="12" borderId="9" xfId="0" applyNumberFormat="1" applyFont="1" applyFill="1" applyBorder="1" applyAlignment="1">
      <alignment horizontal="right"/>
    </xf>
    <xf numFmtId="0" fontId="1" fillId="12" borderId="45" xfId="0" applyFont="1" applyFill="1" applyBorder="1" applyAlignment="1">
      <alignment horizontal="left"/>
    </xf>
    <xf numFmtId="0" fontId="14" fillId="0" borderId="38" xfId="3" applyFont="1" applyFill="1" applyBorder="1"/>
    <xf numFmtId="0" fontId="8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8" fillId="0" borderId="41" xfId="3" applyFont="1" applyBorder="1" applyAlignment="1">
      <alignment horizontal="right"/>
    </xf>
    <xf numFmtId="165" fontId="15" fillId="0" borderId="41" xfId="1" applyNumberFormat="1" applyFont="1" applyBorder="1"/>
    <xf numFmtId="0" fontId="1" fillId="12" borderId="41" xfId="0" applyFont="1" applyFill="1" applyBorder="1" applyAlignment="1">
      <alignment horizontal="right"/>
    </xf>
    <xf numFmtId="0" fontId="33" fillId="0" borderId="38" xfId="0" applyFont="1" applyBorder="1"/>
    <xf numFmtId="0" fontId="1" fillId="0" borderId="40" xfId="0" applyFont="1" applyBorder="1" applyAlignment="1">
      <alignment horizontal="left"/>
    </xf>
    <xf numFmtId="165" fontId="1" fillId="0" borderId="41" xfId="1" applyNumberFormat="1" applyFont="1" applyBorder="1" applyAlignment="1">
      <alignment horizontal="left"/>
    </xf>
    <xf numFmtId="0" fontId="8" fillId="12" borderId="41" xfId="3" applyFont="1" applyFill="1" applyBorder="1" applyAlignment="1">
      <alignment horizontal="right"/>
    </xf>
    <xf numFmtId="0" fontId="13" fillId="3" borderId="29" xfId="0" applyFont="1" applyFill="1" applyBorder="1" applyAlignment="1">
      <alignment horizontal="right"/>
    </xf>
    <xf numFmtId="0" fontId="13" fillId="3" borderId="4" xfId="0" applyFont="1" applyFill="1" applyBorder="1" applyAlignment="1">
      <alignment horizontal="right"/>
    </xf>
    <xf numFmtId="0" fontId="8" fillId="0" borderId="0" xfId="3" applyFont="1" applyAlignment="1">
      <alignment horizontal="right"/>
    </xf>
    <xf numFmtId="168" fontId="1" fillId="12" borderId="41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1" fillId="12" borderId="7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4" fillId="0" borderId="43" xfId="3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34" fillId="0" borderId="0" xfId="0" applyNumberFormat="1" applyFont="1" applyAlignment="1">
      <alignment horizontal="right"/>
    </xf>
    <xf numFmtId="0" fontId="34" fillId="0" borderId="0" xfId="3" applyFont="1" applyAlignment="1">
      <alignment horizontal="right"/>
    </xf>
    <xf numFmtId="169" fontId="34" fillId="0" borderId="0" xfId="0" applyNumberFormat="1" applyFont="1" applyAlignment="1">
      <alignment horizontal="left" vertical="top"/>
    </xf>
    <xf numFmtId="43" fontId="13" fillId="0" borderId="38" xfId="0" applyNumberFormat="1" applyFont="1" applyBorder="1" applyAlignment="1">
      <alignment horizontal="right"/>
    </xf>
    <xf numFmtId="43" fontId="1" fillId="0" borderId="38" xfId="0" applyNumberFormat="1" applyFont="1" applyBorder="1"/>
    <xf numFmtId="0" fontId="35" fillId="0" borderId="0" xfId="0" applyFont="1" applyAlignment="1">
      <alignment horizontal="right" vertical="center"/>
    </xf>
    <xf numFmtId="0" fontId="28" fillId="0" borderId="38" xfId="0" applyFont="1" applyBorder="1"/>
    <xf numFmtId="0" fontId="35" fillId="0" borderId="0" xfId="0" applyFont="1" applyAlignment="1">
      <alignment horizontal="right"/>
    </xf>
    <xf numFmtId="49" fontId="35" fillId="0" borderId="0" xfId="0" applyNumberFormat="1" applyFont="1" applyAlignment="1">
      <alignment horizontal="right"/>
    </xf>
    <xf numFmtId="0" fontId="35" fillId="0" borderId="0" xfId="3" applyFont="1" applyAlignment="1">
      <alignment horizontal="right"/>
    </xf>
    <xf numFmtId="0" fontId="36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8" fillId="0" borderId="2" xfId="0" applyFont="1" applyBorder="1"/>
    <xf numFmtId="0" fontId="39" fillId="12" borderId="42" xfId="0" applyFont="1" applyFill="1" applyBorder="1"/>
    <xf numFmtId="0" fontId="34" fillId="12" borderId="7" xfId="0" applyFont="1" applyFill="1" applyBorder="1" applyAlignment="1">
      <alignment horizontal="left"/>
    </xf>
    <xf numFmtId="0" fontId="38" fillId="0" borderId="39" xfId="0" applyFont="1" applyBorder="1"/>
    <xf numFmtId="0" fontId="34" fillId="0" borderId="45" xfId="0" applyFont="1" applyBorder="1"/>
    <xf numFmtId="0" fontId="34" fillId="0" borderId="9" xfId="0" applyFont="1" applyBorder="1" applyAlignment="1">
      <alignment horizontal="left"/>
    </xf>
    <xf numFmtId="0" fontId="34" fillId="12" borderId="45" xfId="0" applyFont="1" applyFill="1" applyBorder="1"/>
    <xf numFmtId="0" fontId="34" fillId="12" borderId="9" xfId="0" applyFont="1" applyFill="1" applyBorder="1" applyAlignment="1">
      <alignment horizontal="left"/>
    </xf>
    <xf numFmtId="14" fontId="34" fillId="12" borderId="9" xfId="0" applyNumberFormat="1" applyFont="1" applyFill="1" applyBorder="1" applyAlignment="1">
      <alignment horizontal="left"/>
    </xf>
    <xf numFmtId="14" fontId="34" fillId="0" borderId="9" xfId="0" applyNumberFormat="1" applyFont="1" applyBorder="1" applyAlignment="1">
      <alignment horizontal="left"/>
    </xf>
    <xf numFmtId="0" fontId="38" fillId="12" borderId="45" xfId="0" applyFont="1" applyFill="1" applyBorder="1"/>
    <xf numFmtId="49" fontId="34" fillId="12" borderId="9" xfId="0" applyNumberFormat="1" applyFont="1" applyFill="1" applyBorder="1" applyAlignment="1">
      <alignment horizontal="right"/>
    </xf>
    <xf numFmtId="0" fontId="34" fillId="12" borderId="45" xfId="0" applyFont="1" applyFill="1" applyBorder="1" applyAlignment="1">
      <alignment horizontal="left"/>
    </xf>
    <xf numFmtId="0" fontId="38" fillId="0" borderId="44" xfId="0" applyFont="1" applyBorder="1" applyAlignment="1">
      <alignment horizontal="left"/>
    </xf>
    <xf numFmtId="0" fontId="40" fillId="0" borderId="43" xfId="3" applyFont="1" applyBorder="1" applyAlignment="1">
      <alignment horizontal="left"/>
    </xf>
    <xf numFmtId="0" fontId="34" fillId="0" borderId="11" xfId="0" applyFont="1" applyBorder="1" applyAlignment="1">
      <alignment horizontal="left"/>
    </xf>
    <xf numFmtId="0" fontId="10" fillId="12" borderId="41" xfId="3" applyFont="1" applyFill="1" applyBorder="1" applyAlignment="1">
      <alignment horizontal="right"/>
    </xf>
    <xf numFmtId="0" fontId="1" fillId="3" borderId="41" xfId="0" applyFont="1" applyFill="1" applyBorder="1"/>
    <xf numFmtId="0" fontId="1" fillId="0" borderId="41" xfId="0" applyFont="1" applyBorder="1"/>
    <xf numFmtId="0" fontId="1" fillId="8" borderId="39" xfId="0" applyFont="1" applyFill="1" applyBorder="1" applyAlignment="1">
      <alignment horizontal="right"/>
    </xf>
    <xf numFmtId="43" fontId="13" fillId="0" borderId="44" xfId="0" applyNumberFormat="1" applyFont="1" applyBorder="1" applyAlignment="1">
      <alignment horizontal="right"/>
    </xf>
    <xf numFmtId="43" fontId="13" fillId="0" borderId="41" xfId="0" applyNumberFormat="1" applyFont="1" applyBorder="1" applyAlignment="1">
      <alignment horizontal="right"/>
    </xf>
    <xf numFmtId="0" fontId="18" fillId="0" borderId="41" xfId="3" applyFont="1" applyBorder="1"/>
    <xf numFmtId="0" fontId="1" fillId="0" borderId="38" xfId="0" applyFont="1" applyBorder="1"/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3" fillId="12" borderId="38" xfId="0" applyFont="1" applyFill="1" applyBorder="1" applyAlignment="1">
      <alignment horizontal="center"/>
    </xf>
    <xf numFmtId="0" fontId="19" fillId="0" borderId="38" xfId="0" applyFont="1" applyBorder="1" applyAlignment="1">
      <alignment horizontal="left"/>
    </xf>
    <xf numFmtId="0" fontId="4" fillId="0" borderId="23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69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</cellXfs>
  <cellStyles count="4">
    <cellStyle name="Comma" xfId="1" xr:uid="{00000000-0005-0000-0000-000000000000}"/>
    <cellStyle name="Hyperlink" xfId="3" xr:uid="{00000000-0005-0000-0000-000001000000}"/>
    <cellStyle name="Normal" xfId="0" builtinId="0"/>
    <cellStyle name="Per cent" xfId="2" xr:uid="{00000000-0005-0000-0000-000003000000}"/>
  </cellStyles>
  <dxfs count="19">
    <dxf>
      <fill>
        <patternFill patternType="solid">
          <bgColor rgb="FF92D050"/>
        </patternFill>
      </fill>
    </dxf>
    <dxf>
      <fill>
        <patternFill patternType="solid">
          <bgColor rgb="FFFF6565"/>
        </patternFill>
      </fill>
    </dxf>
    <dxf>
      <fill>
        <patternFill patternType="solid">
          <bgColor rgb="FFF69C58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rgb="FFF7A663"/>
        </patternFill>
      </fill>
    </dxf>
    <dxf>
      <fill>
        <patternFill patternType="solid">
          <bgColor rgb="FFFF7575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rgb="FFF7A663"/>
        </patternFill>
      </fill>
    </dxf>
    <dxf>
      <fill>
        <patternFill patternType="solid">
          <bgColor rgb="FFFF7575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rgb="FFF7A66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rgb="FFF7A663"/>
        </patternFill>
      </fill>
    </dxf>
    <dxf>
      <fill>
        <patternFill patternType="solid">
          <bgColor rgb="FFFF7575"/>
        </patternFill>
      </fill>
    </dxf>
    <dxf>
      <fill>
        <patternFill patternType="solid">
          <bgColor rgb="FFFF7575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rgb="FFF7A663"/>
        </patternFill>
      </fill>
    </dxf>
    <dxf>
      <fill>
        <patternFill patternType="solid">
          <bgColor rgb="FFFF7575"/>
        </patternFill>
      </fill>
    </dxf>
  </dxfs>
  <tableStyles count="0" defaultTableStyle="TableStyleMedium2" defaultPivotStyle="PivotStyleLight16"/>
  <colors>
    <mruColors>
      <color rgb="FFA9DFAC"/>
      <color rgb="FF73CB77"/>
      <color rgb="FF9BD5AA"/>
      <color rgb="FFFF8F8F"/>
      <color rgb="FFFE735C"/>
      <color rgb="FFB3E59F"/>
      <color rgb="FFD7F2CE"/>
      <color rgb="FFC8ECBA"/>
      <color rgb="FFB5E6A4"/>
      <color rgb="FFF7A6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293515</xdr:colOff>
      <xdr:row>0</xdr:row>
      <xdr:rowOff>67235</xdr:rowOff>
    </xdr:from>
    <xdr:to>
      <xdr:col>3</xdr:col>
      <xdr:colOff>657225</xdr:colOff>
      <xdr:row>10</xdr:row>
      <xdr:rowOff>11434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989A4C-66B6-4B37-A67A-855F4757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5415" y="67235"/>
          <a:ext cx="1973435" cy="1830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731982</xdr:colOff>
      <xdr:row>83</xdr:row>
      <xdr:rowOff>9844</xdr:rowOff>
    </xdr:from>
    <xdr:to>
      <xdr:col>4</xdr:col>
      <xdr:colOff>1334983</xdr:colOff>
      <xdr:row>84</xdr:row>
      <xdr:rowOff>181293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08E164-EA50-41A7-A001-81B9AA4C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2282" y="16716694"/>
          <a:ext cx="603001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274063</xdr:colOff>
      <xdr:row>83</xdr:row>
      <xdr:rowOff>9844</xdr:rowOff>
    </xdr:from>
    <xdr:to>
      <xdr:col>1</xdr:col>
      <xdr:colOff>886588</xdr:colOff>
      <xdr:row>84</xdr:row>
      <xdr:rowOff>178571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4F490E-72FC-4D50-BE42-E335E445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63" y="16716694"/>
          <a:ext cx="612525" cy="616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292154</xdr:colOff>
      <xdr:row>0</xdr:row>
      <xdr:rowOff>71317</xdr:rowOff>
    </xdr:from>
    <xdr:to>
      <xdr:col>4</xdr:col>
      <xdr:colOff>19224</xdr:colOff>
      <xdr:row>10</xdr:row>
      <xdr:rowOff>7352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C4532F72-DBDE-58B1-54F5-ECD1857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978" y="71317"/>
          <a:ext cx="1811364" cy="1807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1513113</xdr:colOff>
      <xdr:row>84</xdr:row>
      <xdr:rowOff>68038</xdr:rowOff>
    </xdr:from>
    <xdr:to>
      <xdr:col>2</xdr:col>
      <xdr:colOff>2113392</xdr:colOff>
      <xdr:row>85</xdr:row>
      <xdr:rowOff>239487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F2EFE2-F1B7-45B0-9417-C9E8D787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5438" y="14707963"/>
          <a:ext cx="600279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173530</xdr:colOff>
      <xdr:row>84</xdr:row>
      <xdr:rowOff>26014</xdr:rowOff>
    </xdr:from>
    <xdr:to>
      <xdr:col>4</xdr:col>
      <xdr:colOff>780612</xdr:colOff>
      <xdr:row>85</xdr:row>
      <xdr:rowOff>208348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D40AA5-D9C9-43C5-BF02-CAF59B929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1730" y="416539"/>
          <a:ext cx="607082" cy="630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84</xdr:row>
      <xdr:rowOff>26014</xdr:rowOff>
    </xdr:from>
    <xdr:to>
      <xdr:col>1</xdr:col>
      <xdr:colOff>721382</xdr:colOff>
      <xdr:row>85</xdr:row>
      <xdr:rowOff>208347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DDC4D3-837D-43F5-A414-D652F4E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16539"/>
          <a:ext cx="607082" cy="630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2781300</xdr:colOff>
      <xdr:row>0</xdr:row>
      <xdr:rowOff>0</xdr:rowOff>
    </xdr:from>
    <xdr:to>
      <xdr:col>4</xdr:col>
      <xdr:colOff>3905250</xdr:colOff>
      <xdr:row>5</xdr:row>
      <xdr:rowOff>32279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491374DD-BBCD-4891-B8E5-31A62224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0"/>
          <a:ext cx="1123950" cy="106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133350</xdr:colOff>
      <xdr:row>39</xdr:row>
      <xdr:rowOff>142875</xdr:rowOff>
    </xdr:from>
    <xdr:to>
      <xdr:col>6</xdr:col>
      <xdr:colOff>661971</xdr:colOff>
      <xdr:row>41</xdr:row>
      <xdr:rowOff>3704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362F6789-4E35-4CC4-A220-9E6CA78F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5175" y="7896225"/>
          <a:ext cx="528621" cy="49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w@drumclip.n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098E-3B28-4392-814E-EDEFE659320A}">
  <sheetPr>
    <tabColor theme="0" tint="-0.249977111117893"/>
  </sheetPr>
  <dimension ref="A2:I114"/>
  <sheetViews>
    <sheetView tabSelected="1" zoomScaleNormal="100" zoomScaleSheetLayoutView="85" workbookViewId="0">
      <selection activeCell="B50" sqref="B50:C50"/>
    </sheetView>
  </sheetViews>
  <sheetFormatPr defaultColWidth="9.1328125" defaultRowHeight="14.25" x14ac:dyDescent="0.45"/>
  <cols>
    <col min="1" max="1" width="1.59765625" style="48" customWidth="1"/>
    <col min="2" max="2" width="51.6640625" style="48" customWidth="1"/>
    <col min="3" max="3" width="22.6640625" style="50" customWidth="1"/>
    <col min="4" max="4" width="11.6640625" style="50" customWidth="1"/>
    <col min="5" max="5" width="67.46484375" style="48" customWidth="1"/>
    <col min="6" max="6" width="22.59765625" style="48" customWidth="1"/>
    <col min="7" max="7" width="11.6640625" style="48" customWidth="1"/>
    <col min="8" max="8" width="51.6640625" style="48" customWidth="1"/>
    <col min="9" max="9" width="22.6640625" style="48" customWidth="1"/>
    <col min="10" max="16384" width="9.1328125" style="48"/>
  </cols>
  <sheetData>
    <row r="2" spans="2:8" ht="20.65" customHeight="1" x14ac:dyDescent="0.45">
      <c r="E2" s="232" t="s">
        <v>184</v>
      </c>
    </row>
    <row r="3" spans="2:8" x14ac:dyDescent="0.45">
      <c r="E3" s="227" t="s">
        <v>151</v>
      </c>
    </row>
    <row r="4" spans="2:8" x14ac:dyDescent="0.45">
      <c r="E4" s="227" t="s">
        <v>152</v>
      </c>
    </row>
    <row r="5" spans="2:8" x14ac:dyDescent="0.45">
      <c r="E5" s="227" t="s">
        <v>153</v>
      </c>
    </row>
    <row r="6" spans="2:8" x14ac:dyDescent="0.45">
      <c r="E6" s="227"/>
    </row>
    <row r="7" spans="2:8" x14ac:dyDescent="0.45">
      <c r="E7" s="227" t="s">
        <v>154</v>
      </c>
    </row>
    <row r="8" spans="2:8" x14ac:dyDescent="0.45">
      <c r="E8" s="227" t="s">
        <v>155</v>
      </c>
    </row>
    <row r="9" spans="2:8" x14ac:dyDescent="0.45">
      <c r="E9" s="227" t="s">
        <v>156</v>
      </c>
    </row>
    <row r="10" spans="2:8" x14ac:dyDescent="0.45">
      <c r="E10" s="227"/>
    </row>
    <row r="11" spans="2:8" x14ac:dyDescent="0.45">
      <c r="E11" s="227" t="s">
        <v>157</v>
      </c>
    </row>
    <row r="12" spans="2:8" s="138" customFormat="1" ht="10.15" x14ac:dyDescent="0.45">
      <c r="E12" s="138" t="s">
        <v>158</v>
      </c>
    </row>
    <row r="13" spans="2:8" ht="21" x14ac:dyDescent="0.65">
      <c r="B13" s="263" t="s">
        <v>182</v>
      </c>
      <c r="C13" s="263"/>
      <c r="D13" s="263"/>
      <c r="E13" s="263"/>
      <c r="H13" s="138"/>
    </row>
    <row r="14" spans="2:8" x14ac:dyDescent="0.45">
      <c r="E14" s="138"/>
      <c r="H14" s="138"/>
    </row>
    <row r="15" spans="2:8" x14ac:dyDescent="0.45">
      <c r="E15" s="227" t="s">
        <v>183</v>
      </c>
      <c r="H15" s="138"/>
    </row>
    <row r="16" spans="2:8" ht="15.4" x14ac:dyDescent="0.45">
      <c r="B16" s="224">
        <v>46258</v>
      </c>
      <c r="E16" s="233" t="s">
        <v>176</v>
      </c>
      <c r="H16" s="138"/>
    </row>
    <row r="17" spans="1:8" ht="14.65" thickBot="1" x14ac:dyDescent="0.5">
      <c r="B17" s="191"/>
      <c r="D17" s="110"/>
      <c r="E17" s="228"/>
      <c r="F17" s="191"/>
    </row>
    <row r="18" spans="1:8" ht="28.35" customHeight="1" x14ac:dyDescent="0.6">
      <c r="A18" s="191"/>
      <c r="B18" s="234" t="s">
        <v>172</v>
      </c>
      <c r="C18" s="235"/>
      <c r="D18" s="236"/>
      <c r="E18" s="229" t="s">
        <v>0</v>
      </c>
    </row>
    <row r="19" spans="1:8" x14ac:dyDescent="0.45">
      <c r="A19" s="191"/>
      <c r="B19" s="237"/>
      <c r="C19" s="238"/>
      <c r="D19" s="239"/>
      <c r="E19" s="230" t="s">
        <v>160</v>
      </c>
      <c r="G19" s="191"/>
    </row>
    <row r="20" spans="1:8" x14ac:dyDescent="0.45">
      <c r="A20" s="191"/>
      <c r="B20" s="237" t="s">
        <v>173</v>
      </c>
      <c r="C20" s="240"/>
      <c r="D20" s="241"/>
      <c r="E20" s="231" t="s">
        <v>2</v>
      </c>
    </row>
    <row r="21" spans="1:8" x14ac:dyDescent="0.45">
      <c r="A21" s="191"/>
      <c r="B21" s="237"/>
      <c r="C21" s="240"/>
      <c r="D21" s="241"/>
      <c r="E21" s="222"/>
    </row>
    <row r="22" spans="1:8" x14ac:dyDescent="0.45">
      <c r="A22" s="191"/>
      <c r="B22" s="237"/>
      <c r="C22" s="240"/>
      <c r="D22" s="241"/>
      <c r="E22" s="229" t="s">
        <v>1</v>
      </c>
    </row>
    <row r="23" spans="1:8" x14ac:dyDescent="0.45">
      <c r="A23" s="191"/>
      <c r="B23" s="237"/>
      <c r="C23" s="240"/>
      <c r="D23" s="242"/>
      <c r="E23" s="230" t="s">
        <v>159</v>
      </c>
    </row>
    <row r="24" spans="1:8" x14ac:dyDescent="0.45">
      <c r="A24" s="191"/>
      <c r="B24" s="237"/>
      <c r="C24" s="238"/>
      <c r="D24" s="243"/>
      <c r="E24" s="231" t="s">
        <v>3</v>
      </c>
    </row>
    <row r="25" spans="1:8" x14ac:dyDescent="0.45">
      <c r="A25" s="191"/>
      <c r="B25" s="237" t="s">
        <v>174</v>
      </c>
      <c r="C25" s="244"/>
      <c r="D25" s="241"/>
      <c r="E25" s="222"/>
    </row>
    <row r="26" spans="1:8" x14ac:dyDescent="0.45">
      <c r="A26" s="191"/>
      <c r="B26" s="237" t="s">
        <v>175</v>
      </c>
      <c r="C26" s="240"/>
      <c r="D26" s="245"/>
      <c r="E26" s="229"/>
    </row>
    <row r="27" spans="1:8" x14ac:dyDescent="0.45">
      <c r="A27" s="191"/>
      <c r="B27" s="237"/>
      <c r="C27" s="246"/>
      <c r="D27" s="241"/>
      <c r="E27" s="230"/>
      <c r="F27" s="191"/>
    </row>
    <row r="28" spans="1:8" x14ac:dyDescent="0.45">
      <c r="A28" s="191"/>
      <c r="B28" s="237"/>
      <c r="C28" s="246"/>
      <c r="D28" s="241"/>
      <c r="E28" s="231"/>
      <c r="F28" s="191"/>
    </row>
    <row r="29" spans="1:8" ht="14.65" thickBot="1" x14ac:dyDescent="0.5">
      <c r="A29" s="191"/>
      <c r="B29" s="247"/>
      <c r="C29" s="248"/>
      <c r="D29" s="249"/>
      <c r="E29" s="203"/>
      <c r="F29" s="191"/>
    </row>
    <row r="30" spans="1:8" ht="30" customHeight="1" x14ac:dyDescent="0.5">
      <c r="B30" s="264" t="s">
        <v>181</v>
      </c>
      <c r="C30" s="264"/>
      <c r="D30" s="264"/>
      <c r="E30" s="264"/>
      <c r="H30" s="137"/>
    </row>
    <row r="31" spans="1:8" ht="14.65" thickBot="1" x14ac:dyDescent="0.5">
      <c r="C31" s="109"/>
      <c r="D31" s="49"/>
      <c r="E31" s="121"/>
      <c r="H31" s="137"/>
    </row>
    <row r="32" spans="1:8" ht="14.65" thickBot="1" x14ac:dyDescent="0.5">
      <c r="B32" s="50"/>
      <c r="C32" s="120" t="s">
        <v>7</v>
      </c>
      <c r="D32" s="49"/>
      <c r="E32" s="212" t="s">
        <v>133</v>
      </c>
      <c r="H32" s="137"/>
    </row>
    <row r="33" spans="2:8" ht="14.65" thickBot="1" x14ac:dyDescent="0.5">
      <c r="B33" s="50"/>
      <c r="C33" s="109"/>
      <c r="D33" s="49"/>
      <c r="E33" s="121"/>
      <c r="H33" s="138"/>
    </row>
    <row r="34" spans="2:8" ht="14.65" thickBot="1" x14ac:dyDescent="0.5">
      <c r="B34" s="51"/>
      <c r="C34" s="204" t="s">
        <v>148</v>
      </c>
      <c r="D34" s="49"/>
      <c r="E34" s="208"/>
      <c r="H34" s="138"/>
    </row>
    <row r="35" spans="2:8" ht="14.65" thickBot="1" x14ac:dyDescent="0.5">
      <c r="B35" s="51"/>
      <c r="C35" s="205"/>
      <c r="D35" s="139"/>
      <c r="E35" s="139"/>
      <c r="F35" s="139"/>
      <c r="G35" s="139"/>
      <c r="H35" s="138"/>
    </row>
    <row r="36" spans="2:8" ht="14.65" thickBot="1" x14ac:dyDescent="0.5">
      <c r="B36" s="51"/>
      <c r="C36" s="215" t="s">
        <v>188</v>
      </c>
      <c r="D36" s="49"/>
      <c r="E36" s="208">
        <v>1</v>
      </c>
      <c r="G36" s="140"/>
    </row>
    <row r="37" spans="2:8" ht="14.65" thickBot="1" x14ac:dyDescent="0.5">
      <c r="B37" s="51"/>
      <c r="C37" s="120"/>
      <c r="D37" s="49"/>
      <c r="G37" s="141"/>
      <c r="H37" s="190"/>
    </row>
    <row r="38" spans="2:8" ht="14.65" thickBot="1" x14ac:dyDescent="0.5">
      <c r="B38" s="50"/>
      <c r="C38" s="120" t="s">
        <v>6</v>
      </c>
      <c r="D38" s="49"/>
      <c r="E38" s="250">
        <v>4</v>
      </c>
      <c r="H38" s="50"/>
    </row>
    <row r="39" spans="2:8" ht="14.65" thickBot="1" x14ac:dyDescent="0.5">
      <c r="B39" s="50"/>
      <c r="C39" s="109"/>
      <c r="D39" s="49"/>
      <c r="E39" s="121"/>
      <c r="H39" s="50"/>
    </row>
    <row r="40" spans="2:8" ht="14.65" thickBot="1" x14ac:dyDescent="0.5">
      <c r="B40" s="50"/>
      <c r="C40" s="215" t="s">
        <v>187</v>
      </c>
      <c r="D40" s="49"/>
      <c r="E40" s="216"/>
    </row>
    <row r="41" spans="2:8" customFormat="1" x14ac:dyDescent="0.45"/>
    <row r="42" spans="2:8" ht="21" x14ac:dyDescent="0.65">
      <c r="B42" s="133" t="s">
        <v>185</v>
      </c>
      <c r="C42" s="109"/>
      <c r="D42" s="49"/>
      <c r="E42" s="121"/>
    </row>
    <row r="43" spans="2:8" ht="22.9" customHeight="1" x14ac:dyDescent="0.45">
      <c r="B43" s="49" t="s">
        <v>150</v>
      </c>
      <c r="C43" s="109"/>
      <c r="D43" s="49"/>
      <c r="E43" s="121"/>
    </row>
    <row r="44" spans="2:8" ht="14.65" thickBot="1" x14ac:dyDescent="0.5">
      <c r="B44" s="50"/>
      <c r="C44" s="109"/>
      <c r="D44" s="49"/>
      <c r="E44" s="121"/>
    </row>
    <row r="45" spans="2:8" ht="14.65" thickBot="1" x14ac:dyDescent="0.5">
      <c r="B45" s="134"/>
      <c r="C45" s="120" t="s">
        <v>9</v>
      </c>
      <c r="D45" s="49"/>
      <c r="E45" s="256" t="str">
        <f>'Code table'!B18</f>
        <v>DC18A Red</v>
      </c>
    </row>
    <row r="46" spans="2:8" ht="14.65" thickBot="1" x14ac:dyDescent="0.5">
      <c r="B46" s="50"/>
      <c r="C46" s="120"/>
      <c r="D46" s="49"/>
      <c r="E46" s="124"/>
    </row>
    <row r="47" spans="2:8" ht="14.65" thickBot="1" x14ac:dyDescent="0.5">
      <c r="B47" s="51"/>
      <c r="C47" s="120" t="s">
        <v>4</v>
      </c>
      <c r="D47" s="49"/>
      <c r="E47" s="207">
        <f>E34*E38</f>
        <v>0</v>
      </c>
    </row>
    <row r="48" spans="2:8" x14ac:dyDescent="0.45">
      <c r="B48" s="51"/>
      <c r="C48" s="120"/>
      <c r="D48" s="49"/>
      <c r="E48" s="135"/>
    </row>
    <row r="49" spans="2:5" ht="28.05" customHeight="1" x14ac:dyDescent="0.75">
      <c r="B49" s="209" t="s">
        <v>10</v>
      </c>
      <c r="C49" s="125"/>
      <c r="D49" s="49"/>
    </row>
    <row r="50" spans="2:5" ht="30" customHeight="1" x14ac:dyDescent="0.5">
      <c r="B50" s="264" t="s">
        <v>149</v>
      </c>
      <c r="C50" s="264"/>
      <c r="D50" s="49"/>
    </row>
    <row r="51" spans="2:5" ht="14.65" thickBot="1" x14ac:dyDescent="0.5">
      <c r="D51" s="110"/>
    </row>
    <row r="52" spans="2:5" ht="14.65" thickBot="1" x14ac:dyDescent="0.5">
      <c r="B52" s="116" t="s">
        <v>11</v>
      </c>
      <c r="C52" s="117" t="str">
        <f>E45</f>
        <v>DC18A Red</v>
      </c>
      <c r="D52" s="111"/>
      <c r="E52" s="47"/>
    </row>
    <row r="53" spans="2:5" x14ac:dyDescent="0.45">
      <c r="B53" s="118" t="s">
        <v>12</v>
      </c>
      <c r="C53" s="122" t="str">
        <f>IF(C58&lt;1000,"",IFERROR(INDEX('Price Quotation'!$D$4:$H$6,MATCH(C52,'Price Quotation'!$B$4:$B$6,0),MATCH(C58,'Price Quotation'!$D$3:$H$3,1)),))</f>
        <v/>
      </c>
      <c r="D53" s="112"/>
      <c r="E53" s="114"/>
    </row>
    <row r="54" spans="2:5" x14ac:dyDescent="0.45">
      <c r="B54" s="114" t="s">
        <v>13</v>
      </c>
      <c r="C54" s="122">
        <v>63.5</v>
      </c>
      <c r="D54" s="113"/>
      <c r="E54" s="114" t="s">
        <v>177</v>
      </c>
    </row>
    <row r="55" spans="2:5" ht="14.65" thickBot="1" x14ac:dyDescent="0.5">
      <c r="B55" s="119" t="s">
        <v>14</v>
      </c>
      <c r="C55" s="123">
        <f>E40</f>
        <v>0</v>
      </c>
      <c r="D55" s="112"/>
      <c r="E55" s="115"/>
    </row>
    <row r="56" spans="2:5" ht="14.65" thickBot="1" x14ac:dyDescent="0.5">
      <c r="D56" s="110"/>
    </row>
    <row r="57" spans="2:5" ht="14.65" thickBot="1" x14ac:dyDescent="0.5">
      <c r="B57" s="265" t="s">
        <v>178</v>
      </c>
      <c r="C57" s="266"/>
      <c r="D57" s="56"/>
    </row>
    <row r="58" spans="2:5" x14ac:dyDescent="0.45">
      <c r="B58" s="57" t="s">
        <v>146</v>
      </c>
      <c r="C58" s="131">
        <f>E34*E38</f>
        <v>0</v>
      </c>
      <c r="D58" s="58"/>
      <c r="E58" s="59"/>
    </row>
    <row r="59" spans="2:5" ht="14.65" thickBot="1" x14ac:dyDescent="0.5">
      <c r="B59" s="127" t="s">
        <v>147</v>
      </c>
      <c r="C59" s="132">
        <f>C58/2</f>
        <v>0</v>
      </c>
      <c r="D59" s="129"/>
      <c r="E59" s="130"/>
    </row>
    <row r="60" spans="2:5" x14ac:dyDescent="0.45">
      <c r="B60" s="60" t="s">
        <v>15</v>
      </c>
      <c r="C60" s="213">
        <f>E38</f>
        <v>4</v>
      </c>
      <c r="D60" s="61"/>
      <c r="E60" s="59"/>
    </row>
    <row r="61" spans="2:5" ht="14.65" thickBot="1" x14ac:dyDescent="0.5">
      <c r="B61" s="60" t="s">
        <v>16</v>
      </c>
      <c r="C61" s="214">
        <v>2</v>
      </c>
      <c r="D61" s="61"/>
      <c r="E61" s="59"/>
    </row>
    <row r="62" spans="2:5" ht="14.65" thickBot="1" x14ac:dyDescent="0.5">
      <c r="B62" s="210" t="s">
        <v>17</v>
      </c>
      <c r="C62" s="211">
        <f>E34</f>
        <v>0</v>
      </c>
      <c r="D62" s="62"/>
      <c r="E62" s="59"/>
    </row>
    <row r="63" spans="2:5" ht="14.65" thickBot="1" x14ac:dyDescent="0.5"/>
    <row r="64" spans="2:5" ht="14.65" thickBot="1" x14ac:dyDescent="0.5">
      <c r="B64" s="265" t="s">
        <v>179</v>
      </c>
      <c r="C64" s="266"/>
    </row>
    <row r="65" spans="2:6" x14ac:dyDescent="0.45">
      <c r="B65" s="57" t="s">
        <v>146</v>
      </c>
      <c r="C65" s="131">
        <f>C58*E36</f>
        <v>0</v>
      </c>
    </row>
    <row r="66" spans="2:6" ht="14.65" thickBot="1" x14ac:dyDescent="0.5">
      <c r="B66" s="127" t="s">
        <v>147</v>
      </c>
      <c r="C66" s="132">
        <f>C65/2</f>
        <v>0</v>
      </c>
    </row>
    <row r="67" spans="2:6" x14ac:dyDescent="0.45">
      <c r="B67" s="60" t="s">
        <v>15</v>
      </c>
      <c r="C67" s="213">
        <f>E36</f>
        <v>1</v>
      </c>
    </row>
    <row r="68" spans="2:6" ht="14.65" thickBot="1" x14ac:dyDescent="0.5">
      <c r="B68" s="60" t="s">
        <v>16</v>
      </c>
      <c r="C68" s="214">
        <v>2</v>
      </c>
    </row>
    <row r="70" spans="2:6" x14ac:dyDescent="0.45">
      <c r="B70" s="48" t="s">
        <v>18</v>
      </c>
    </row>
    <row r="71" spans="2:6" ht="14.65" thickBot="1" x14ac:dyDescent="0.5"/>
    <row r="72" spans="2:6" ht="14.65" thickBot="1" x14ac:dyDescent="0.5">
      <c r="B72" s="63" t="s">
        <v>19</v>
      </c>
      <c r="C72" s="64" t="s">
        <v>20</v>
      </c>
      <c r="E72" s="251" t="s">
        <v>21</v>
      </c>
    </row>
    <row r="73" spans="2:6" x14ac:dyDescent="0.45">
      <c r="B73" s="68" t="s">
        <v>22</v>
      </c>
      <c r="C73" s="69">
        <f>C62*C74</f>
        <v>0</v>
      </c>
      <c r="E73" s="68" t="s">
        <v>23</v>
      </c>
    </row>
    <row r="74" spans="2:6" x14ac:dyDescent="0.45">
      <c r="B74" s="114" t="s">
        <v>24</v>
      </c>
      <c r="C74" s="253">
        <v>9.1999999999999993</v>
      </c>
      <c r="E74" s="114" t="s">
        <v>25</v>
      </c>
    </row>
    <row r="75" spans="2:6" ht="14.65" thickBot="1" x14ac:dyDescent="0.5">
      <c r="B75" s="115" t="s">
        <v>26</v>
      </c>
      <c r="C75" s="254">
        <f>(C73)/1100</f>
        <v>0</v>
      </c>
      <c r="E75" s="115" t="s">
        <v>27</v>
      </c>
    </row>
    <row r="76" spans="2:6" ht="14.65" thickBot="1" x14ac:dyDescent="0.5">
      <c r="B76" s="119" t="s">
        <v>28</v>
      </c>
      <c r="C76" s="255">
        <f>C75/24</f>
        <v>0</v>
      </c>
      <c r="E76" s="252" t="s">
        <v>29</v>
      </c>
    </row>
    <row r="77" spans="2:6" x14ac:dyDescent="0.45">
      <c r="B77" s="191"/>
      <c r="C77" s="225"/>
      <c r="E77" s="191"/>
    </row>
    <row r="78" spans="2:6" x14ac:dyDescent="0.45">
      <c r="B78" s="257" t="s">
        <v>30</v>
      </c>
      <c r="C78" s="257"/>
      <c r="D78" s="257"/>
      <c r="E78" s="257"/>
      <c r="F78" s="257"/>
    </row>
    <row r="79" spans="2:6" x14ac:dyDescent="0.45">
      <c r="B79" s="257" t="s">
        <v>31</v>
      </c>
      <c r="C79" s="257"/>
      <c r="D79" s="257"/>
      <c r="E79" s="257"/>
      <c r="F79" s="257"/>
    </row>
    <row r="81" spans="2:9" x14ac:dyDescent="0.45">
      <c r="C81" s="51"/>
      <c r="D81" s="51"/>
    </row>
    <row r="82" spans="2:9" ht="23.25" x14ac:dyDescent="0.7">
      <c r="B82" s="80" t="s">
        <v>190</v>
      </c>
      <c r="C82" s="51"/>
      <c r="D82" s="51"/>
    </row>
    <row r="83" spans="2:9" ht="30.95" customHeight="1" thickBot="1" x14ac:dyDescent="0.5">
      <c r="C83" s="51"/>
      <c r="D83" s="51"/>
    </row>
    <row r="84" spans="2:9" ht="35.65" customHeight="1" x14ac:dyDescent="0.55000000000000004">
      <c r="B84" s="258" t="s">
        <v>186</v>
      </c>
      <c r="C84" s="259"/>
      <c r="D84" s="61"/>
      <c r="E84" s="258" t="s">
        <v>191</v>
      </c>
      <c r="F84" s="259"/>
      <c r="H84" s="258" t="s">
        <v>35</v>
      </c>
      <c r="I84" s="259"/>
    </row>
    <row r="85" spans="2:9" ht="22.8" customHeight="1" thickBot="1" x14ac:dyDescent="0.5">
      <c r="B85" s="55"/>
      <c r="C85" s="81"/>
      <c r="E85" s="55"/>
      <c r="F85" s="81"/>
      <c r="H85" s="55"/>
      <c r="I85" s="81"/>
    </row>
    <row r="86" spans="2:9" ht="14.65" thickBot="1" x14ac:dyDescent="0.5">
      <c r="B86" s="82" t="s">
        <v>19</v>
      </c>
      <c r="C86" s="83"/>
      <c r="D86" s="51"/>
      <c r="E86" s="82" t="s">
        <v>19</v>
      </c>
      <c r="F86" s="83"/>
      <c r="H86" s="82" t="s">
        <v>19</v>
      </c>
      <c r="I86" s="83"/>
    </row>
    <row r="87" spans="2:9" ht="14.65" thickBot="1" x14ac:dyDescent="0.5">
      <c r="B87" s="82" t="s">
        <v>36</v>
      </c>
      <c r="C87" s="83" t="s">
        <v>37</v>
      </c>
      <c r="D87" s="51"/>
      <c r="E87" s="82" t="s">
        <v>36</v>
      </c>
      <c r="F87" s="83" t="s">
        <v>37</v>
      </c>
      <c r="H87" s="82" t="s">
        <v>36</v>
      </c>
      <c r="I87" s="83" t="s">
        <v>37</v>
      </c>
    </row>
    <row r="88" spans="2:9" x14ac:dyDescent="0.45">
      <c r="B88" s="52" t="s">
        <v>38</v>
      </c>
      <c r="C88" s="84">
        <v>2687</v>
      </c>
      <c r="D88" s="85"/>
      <c r="E88" s="52" t="s">
        <v>38</v>
      </c>
      <c r="F88" s="84">
        <v>2687</v>
      </c>
      <c r="H88" s="52" t="s">
        <v>38</v>
      </c>
      <c r="I88" s="84">
        <v>2687</v>
      </c>
    </row>
    <row r="89" spans="2:9" x14ac:dyDescent="0.45">
      <c r="B89" s="57" t="s">
        <v>39</v>
      </c>
      <c r="C89" s="86">
        <v>95</v>
      </c>
      <c r="D89" s="85"/>
      <c r="E89" s="57" t="s">
        <v>39</v>
      </c>
      <c r="F89" s="86">
        <v>95</v>
      </c>
      <c r="H89" s="57" t="s">
        <v>39</v>
      </c>
      <c r="I89" s="86">
        <v>95</v>
      </c>
    </row>
    <row r="90" spans="2:9" x14ac:dyDescent="0.45">
      <c r="B90" s="57" t="s">
        <v>40</v>
      </c>
      <c r="C90" s="86">
        <v>50</v>
      </c>
      <c r="D90" s="85"/>
      <c r="E90" s="57" t="s">
        <v>40</v>
      </c>
      <c r="F90" s="86">
        <v>50</v>
      </c>
      <c r="H90" s="57" t="s">
        <v>40</v>
      </c>
      <c r="I90" s="86">
        <v>50</v>
      </c>
    </row>
    <row r="91" spans="2:9" x14ac:dyDescent="0.45">
      <c r="B91" s="57" t="s">
        <v>41</v>
      </c>
      <c r="C91" s="86">
        <v>445</v>
      </c>
      <c r="D91" s="85"/>
      <c r="E91" s="57" t="s">
        <v>41</v>
      </c>
      <c r="F91" s="86">
        <v>445</v>
      </c>
      <c r="H91" s="57" t="s">
        <v>41</v>
      </c>
      <c r="I91" s="86">
        <v>445</v>
      </c>
    </row>
    <row r="92" spans="2:9" x14ac:dyDescent="0.45">
      <c r="B92" s="57"/>
      <c r="C92" s="86"/>
      <c r="D92" s="85"/>
      <c r="E92" s="57"/>
      <c r="F92" s="86"/>
      <c r="H92" s="57"/>
      <c r="I92" s="86"/>
    </row>
    <row r="93" spans="2:9" ht="14.65" thickBot="1" x14ac:dyDescent="0.5">
      <c r="B93" s="87" t="s">
        <v>42</v>
      </c>
      <c r="C93" s="88">
        <f>SUM(C88:C92)</f>
        <v>3277</v>
      </c>
      <c r="D93" s="89"/>
      <c r="E93" s="87" t="s">
        <v>42</v>
      </c>
      <c r="F93" s="88">
        <f>SUM(F88:F92)</f>
        <v>3277</v>
      </c>
      <c r="H93" s="87" t="s">
        <v>42</v>
      </c>
      <c r="I93" s="88">
        <f>SUM(I88:I92)</f>
        <v>3277</v>
      </c>
    </row>
    <row r="94" spans="2:9" x14ac:dyDescent="0.45">
      <c r="B94" s="90"/>
      <c r="C94" s="91"/>
      <c r="D94" s="89"/>
      <c r="E94" s="90"/>
      <c r="F94" s="91"/>
      <c r="H94" s="90"/>
      <c r="I94" s="91"/>
    </row>
    <row r="95" spans="2:9" ht="14.65" thickBot="1" x14ac:dyDescent="0.5">
      <c r="B95" s="90" t="s">
        <v>43</v>
      </c>
      <c r="C95" s="92"/>
      <c r="D95" s="85"/>
      <c r="E95" s="90" t="s">
        <v>44</v>
      </c>
      <c r="F95" s="92"/>
      <c r="H95" s="90"/>
      <c r="I95" s="92">
        <v>0</v>
      </c>
    </row>
    <row r="96" spans="2:9" x14ac:dyDescent="0.45">
      <c r="B96" s="68" t="s">
        <v>45</v>
      </c>
      <c r="C96" s="84"/>
      <c r="D96" s="85"/>
      <c r="E96" s="68" t="s">
        <v>46</v>
      </c>
      <c r="F96" s="84"/>
      <c r="H96" s="68" t="s">
        <v>46</v>
      </c>
      <c r="I96" s="84"/>
    </row>
    <row r="97" spans="2:9" x14ac:dyDescent="0.45">
      <c r="B97" s="54" t="s">
        <v>47</v>
      </c>
      <c r="C97" s="86">
        <f>C75*C54</f>
        <v>0</v>
      </c>
      <c r="D97" s="85"/>
      <c r="E97" s="54" t="s">
        <v>47</v>
      </c>
      <c r="F97" s="86">
        <f>C97</f>
        <v>0</v>
      </c>
      <c r="H97" s="54" t="s">
        <v>48</v>
      </c>
      <c r="I97" s="86">
        <f>F97/2</f>
        <v>0</v>
      </c>
    </row>
    <row r="98" spans="2:9" x14ac:dyDescent="0.45">
      <c r="B98" s="54" t="str">
        <f>E45</f>
        <v>DC18A Red</v>
      </c>
      <c r="C98" s="86" t="e">
        <f>C53*C59</f>
        <v>#VALUE!</v>
      </c>
      <c r="D98" s="85"/>
      <c r="E98" s="93" t="str">
        <f>E45</f>
        <v>DC18A Red</v>
      </c>
      <c r="F98" s="86" t="e">
        <f>F108*C53</f>
        <v>#VALUE!</v>
      </c>
      <c r="H98" s="93" t="str">
        <f>E45</f>
        <v>DC18A Red</v>
      </c>
      <c r="I98" s="86">
        <v>0</v>
      </c>
    </row>
    <row r="99" spans="2:9" x14ac:dyDescent="0.45">
      <c r="B99" s="54"/>
      <c r="C99" s="86"/>
      <c r="D99" s="85"/>
      <c r="E99" s="54"/>
      <c r="F99" s="86"/>
      <c r="H99" s="54" t="s">
        <v>49</v>
      </c>
      <c r="I99" s="86">
        <f>C55*C62</f>
        <v>0</v>
      </c>
    </row>
    <row r="100" spans="2:9" x14ac:dyDescent="0.45">
      <c r="B100" s="54" t="s">
        <v>50</v>
      </c>
      <c r="C100" s="94" t="e">
        <f>SUM(C96:C99)</f>
        <v>#VALUE!</v>
      </c>
      <c r="D100" s="89"/>
      <c r="E100" s="54" t="s">
        <v>50</v>
      </c>
      <c r="F100" s="94" t="e">
        <f>SUM(F96:F99)</f>
        <v>#VALUE!</v>
      </c>
      <c r="H100" s="54" t="s">
        <v>50</v>
      </c>
      <c r="I100" s="94">
        <f>SUM(I96:I99)</f>
        <v>0</v>
      </c>
    </row>
    <row r="101" spans="2:9" ht="14.65" thickBot="1" x14ac:dyDescent="0.5">
      <c r="B101" s="74"/>
      <c r="C101" s="95"/>
      <c r="D101" s="85"/>
      <c r="E101" s="74"/>
      <c r="F101" s="95"/>
      <c r="H101" s="74"/>
      <c r="I101" s="95"/>
    </row>
    <row r="102" spans="2:9" ht="14.65" thickBot="1" x14ac:dyDescent="0.5">
      <c r="B102" s="96" t="s">
        <v>51</v>
      </c>
      <c r="C102" s="97" t="e">
        <f>C100+C93</f>
        <v>#VALUE!</v>
      </c>
      <c r="D102" s="89"/>
      <c r="E102" s="96" t="s">
        <v>51</v>
      </c>
      <c r="F102" s="97" t="e">
        <f>F100+F93</f>
        <v>#VALUE!</v>
      </c>
      <c r="H102" s="96" t="s">
        <v>51</v>
      </c>
      <c r="I102" s="97">
        <f>I100+I93</f>
        <v>3277</v>
      </c>
    </row>
    <row r="105" spans="2:9" ht="14.65" thickBot="1" x14ac:dyDescent="0.5">
      <c r="B105" s="260" t="s">
        <v>52</v>
      </c>
      <c r="C105" s="261"/>
      <c r="D105" s="98"/>
      <c r="E105" s="261" t="s">
        <v>53</v>
      </c>
      <c r="F105" s="262"/>
      <c r="H105" s="260" t="s">
        <v>54</v>
      </c>
      <c r="I105" s="262"/>
    </row>
    <row r="106" spans="2:9" x14ac:dyDescent="0.45">
      <c r="B106" s="99" t="s">
        <v>55</v>
      </c>
      <c r="C106" s="100">
        <f>C62</f>
        <v>0</v>
      </c>
      <c r="D106" s="101"/>
      <c r="E106" s="48" t="s">
        <v>56</v>
      </c>
      <c r="F106" s="102">
        <v>3</v>
      </c>
      <c r="H106" s="99" t="s">
        <v>55</v>
      </c>
      <c r="I106" s="100">
        <f>C62</f>
        <v>0</v>
      </c>
    </row>
    <row r="107" spans="2:9" x14ac:dyDescent="0.45">
      <c r="B107" s="54"/>
      <c r="C107" s="103"/>
      <c r="D107" s="86"/>
      <c r="E107" s="48" t="s">
        <v>57</v>
      </c>
      <c r="F107" s="104">
        <v>0.1</v>
      </c>
      <c r="H107" s="54"/>
      <c r="I107" s="103"/>
    </row>
    <row r="108" spans="2:9" x14ac:dyDescent="0.45">
      <c r="B108" s="54"/>
      <c r="C108" s="103"/>
      <c r="D108" s="86"/>
      <c r="E108" s="48" t="s">
        <v>58</v>
      </c>
      <c r="F108" s="105">
        <f>(C59*(1*(100%+F107)))/F106</f>
        <v>0</v>
      </c>
      <c r="H108" s="54"/>
      <c r="I108" s="103"/>
    </row>
    <row r="109" spans="2:9" x14ac:dyDescent="0.45">
      <c r="B109" s="106"/>
      <c r="C109" s="101"/>
      <c r="D109" s="86"/>
      <c r="F109" s="105"/>
      <c r="H109" s="106"/>
      <c r="I109" s="101"/>
    </row>
    <row r="110" spans="2:9" x14ac:dyDescent="0.45">
      <c r="B110" s="54" t="s">
        <v>59</v>
      </c>
      <c r="C110" s="86" t="e">
        <f>$C$93/C62</f>
        <v>#DIV/0!</v>
      </c>
      <c r="D110" s="86"/>
      <c r="E110" s="54" t="s">
        <v>59</v>
      </c>
      <c r="F110" s="86" t="e">
        <f>F93/C62</f>
        <v>#DIV/0!</v>
      </c>
      <c r="H110" s="54" t="s">
        <v>59</v>
      </c>
      <c r="I110" s="86" t="e">
        <f>I93/C62</f>
        <v>#DIV/0!</v>
      </c>
    </row>
    <row r="111" spans="2:9" x14ac:dyDescent="0.45">
      <c r="B111" s="54" t="str">
        <f>B54</f>
        <v>Signode Tenax T2220 (1 rol of 1.100 Meter)</v>
      </c>
      <c r="C111" s="86">
        <f>(C54/1100)*C74</f>
        <v>0.53109090909090906</v>
      </c>
      <c r="D111" s="103"/>
      <c r="E111" s="48" t="s">
        <v>22</v>
      </c>
      <c r="F111" s="86">
        <f>C111</f>
        <v>0.53109090909090906</v>
      </c>
      <c r="H111" s="54" t="s">
        <v>22</v>
      </c>
      <c r="I111" s="86" t="e">
        <f>(I97/C62)</f>
        <v>#DIV/0!</v>
      </c>
    </row>
    <row r="112" spans="2:9" x14ac:dyDescent="0.45">
      <c r="B112" s="93" t="str">
        <f>E45</f>
        <v>DC18A Red</v>
      </c>
      <c r="C112" s="86" t="e">
        <f>(C98/C62)</f>
        <v>#VALUE!</v>
      </c>
      <c r="D112" s="94"/>
      <c r="E112" s="93" t="str">
        <f>E45</f>
        <v>DC18A Red</v>
      </c>
      <c r="F112" s="86" t="e">
        <f>(F98/C62)</f>
        <v>#VALUE!</v>
      </c>
      <c r="H112" s="54" t="s">
        <v>49</v>
      </c>
      <c r="I112" s="107" t="e">
        <f>I99/C62</f>
        <v>#DIV/0!</v>
      </c>
    </row>
    <row r="113" spans="2:9" x14ac:dyDescent="0.45">
      <c r="B113" s="54"/>
      <c r="C113" s="103"/>
      <c r="D113" s="103"/>
      <c r="F113" s="54"/>
      <c r="H113" s="54"/>
      <c r="I113" s="103"/>
    </row>
    <row r="114" spans="2:9" ht="14.65" thickBot="1" x14ac:dyDescent="0.5">
      <c r="B114" s="108" t="s">
        <v>60</v>
      </c>
      <c r="C114" s="88" t="e">
        <f>SUM(C110:C113)</f>
        <v>#DIV/0!</v>
      </c>
      <c r="D114" s="103"/>
      <c r="E114" s="108" t="s">
        <v>60</v>
      </c>
      <c r="F114" s="217" t="e">
        <f>SUM(F110:F112)</f>
        <v>#DIV/0!</v>
      </c>
      <c r="H114" s="108" t="s">
        <v>60</v>
      </c>
      <c r="I114" s="88" t="e">
        <f>SUM(I110:I113)</f>
        <v>#DIV/0!</v>
      </c>
    </row>
  </sheetData>
  <mergeCells count="13">
    <mergeCell ref="B78:F78"/>
    <mergeCell ref="B13:E13"/>
    <mergeCell ref="B30:E30"/>
    <mergeCell ref="B50:C50"/>
    <mergeCell ref="B57:C57"/>
    <mergeCell ref="B64:C64"/>
    <mergeCell ref="B79:F79"/>
    <mergeCell ref="B84:C84"/>
    <mergeCell ref="E84:F84"/>
    <mergeCell ref="H84:I84"/>
    <mergeCell ref="B105:C105"/>
    <mergeCell ref="E105:F105"/>
    <mergeCell ref="H105:I105"/>
  </mergeCells>
  <conditionalFormatting sqref="B13">
    <cfRule type="containsText" dxfId="18" priority="4" operator="containsText" text="DC18A Red">
      <formula>NOT(ISERROR(SEARCH("DC18A Red",B13)))</formula>
    </cfRule>
    <cfRule type="expression" dxfId="17" priority="5">
      <formula>ISNUMBER(SEARCH("Orange",B13))</formula>
    </cfRule>
    <cfRule type="expression" dxfId="16" priority="6">
      <formula>ISNUMBER(SEARCH("Green",B13))</formula>
    </cfRule>
  </conditionalFormatting>
  <conditionalFormatting sqref="B78:J116 E3:E11 A12:XFD12 H13:H16 E14 B16 H18 E18:E28 D27:D28 F27:F28 I27:J29 B29:F29 B30 F30 H30:J37 C31:F31 B32:E32 B33:F33 B34:D34 F34 B35:C35 B36:D37 F36:F37 B38:J39 B40:D40 F40:G40 I40:J40 B42:G48 I42:J48 B49:J63 B64:C68 D65:J68 B69:J69 F70:F77 B71:C77 E71:E77 G71:J77">
    <cfRule type="containsText" dxfId="15" priority="9" operator="containsText" text="DC18A Red">
      <formula>NOT(ISERROR(SEARCH("DC18A Red",A3)))</formula>
    </cfRule>
  </conditionalFormatting>
  <conditionalFormatting sqref="C28">
    <cfRule type="containsText" dxfId="14" priority="1" operator="containsText" text="DC18A Red">
      <formula>NOT(ISERROR(SEARCH("DC18A Red",C28)))</formula>
    </cfRule>
    <cfRule type="expression" dxfId="13" priority="2">
      <formula>ISNUMBER(SEARCH("Orange",C28))</formula>
    </cfRule>
    <cfRule type="expression" dxfId="12" priority="3">
      <formula>ISNUMBER(SEARCH("Green",C28))</formula>
    </cfRule>
  </conditionalFormatting>
  <conditionalFormatting sqref="C102 F102 I102">
    <cfRule type="colorScale" priority="8">
      <colorScale>
        <cfvo type="min"/>
        <cfvo type="percentile" val="50"/>
        <cfvo type="max"/>
        <color rgb="FF73CB77"/>
        <color rgb="FFA9DFAC"/>
        <color rgb="FFFFEF9C"/>
      </colorScale>
    </cfRule>
  </conditionalFormatting>
  <conditionalFormatting sqref="C114 F114 I114">
    <cfRule type="colorScale" priority="7">
      <colorScale>
        <cfvo type="min"/>
        <cfvo type="percentile" val="50"/>
        <cfvo type="max"/>
        <color rgb="FF73CB77"/>
        <color rgb="FFA9DFAC"/>
        <color rgb="FFFFEF9C"/>
      </colorScale>
    </cfRule>
  </conditionalFormatting>
  <conditionalFormatting sqref="E3:E11 A12:XFD12 H13:H16 E14 B16 H18 E18:E28 D27:D28 F27:F28 I27:J29 B29:F29 B30 F30 H30:J37 C31:F31 B32:E32 B33:F33 B34:D34 F34 B35:C35 B36:D37 F36:F37 B38:J39 B40:D40 F40:G40 I40:J40 B42:G48 I42:J48 B49:J63 B64:C68 D65:J68 B69:J69 F70:F77 B71:C77 E71:E77 G71:J77 B78:J116">
    <cfRule type="expression" dxfId="11" priority="10">
      <formula>ISNUMBER(SEARCH("Orange",A3))</formula>
    </cfRule>
    <cfRule type="expression" dxfId="10" priority="11">
      <formula>ISNUMBER(SEARCH("Green",A3))</formula>
    </cfRule>
  </conditionalFormatting>
  <pageMargins left="0.51181102362204722" right="0.51181102362204722" top="0.35433070866141736" bottom="0.35433070866141736" header="0.31496062992125984" footer="0.31496062992125984"/>
  <pageSetup paperSize="9" scale="51" fitToWidth="2" fitToHeight="2" orientation="portrait" r:id="rId1"/>
  <colBreaks count="1" manualBreakCount="1">
    <brk id="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CC00A3A2-9468-4C07-84F0-FF38DEE35138}">
          <x14:formula1>
            <xm:f>'Price Quotation'!$B$4:$B$6</xm:f>
          </x14:formula1>
          <xm:sqref>E46:E48</xm:sqref>
        </x14:dataValidation>
        <x14:dataValidation type="list" xr:uid="{8E2BF9A4-D50A-4635-AA10-D55128C9E40F}">
          <x14:formula1>
            <xm:f>'Code table'!$C$5:$C$11</xm:f>
          </x14:formula1>
          <xm:sqref>E32</xm:sqref>
        </x14:dataValidation>
        <x14:dataValidation type="list" xr:uid="{2F72CAD7-05A7-4278-8A2F-F2E67884890F}">
          <x14:formula1>
            <xm:f>'Code table'!$B$14:$B$15</xm:f>
          </x14:formula1>
          <xm:sqref>E38</xm:sqref>
        </x14:dataValidation>
        <x14:dataValidation type="list" showInputMessage="1" showErrorMessage="1" xr:uid="{57C4552F-5A93-4EFD-B3FF-60486E920E95}">
          <x14:formula1>
            <xm:f>'Code table'!$B$20:$B$40</xm:f>
          </x14:formula1>
          <xm:sqref>E36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A1:I115"/>
  <sheetViews>
    <sheetView topLeftCell="A84" zoomScaleNormal="100" zoomScaleSheetLayoutView="85" workbookViewId="0">
      <selection activeCell="A84" sqref="A1:XFD1048576"/>
    </sheetView>
  </sheetViews>
  <sheetFormatPr defaultColWidth="9.1328125" defaultRowHeight="14.25" x14ac:dyDescent="0.45"/>
  <cols>
    <col min="1" max="1" width="2.53125" style="48" customWidth="1"/>
    <col min="2" max="2" width="39.06640625" style="48" customWidth="1"/>
    <col min="3" max="3" width="20.6640625" style="50" customWidth="1"/>
    <col min="4" max="4" width="3.33203125" style="50" customWidth="1"/>
    <col min="5" max="5" width="50.6640625" style="48" customWidth="1"/>
    <col min="6" max="6" width="20.6640625" style="48" customWidth="1"/>
    <col min="7" max="7" width="5.6640625" style="48" customWidth="1"/>
    <col min="8" max="8" width="50.6640625" style="48" customWidth="1"/>
    <col min="9" max="9" width="20.6640625" style="48" customWidth="1"/>
    <col min="10" max="16384" width="9.1328125" style="48"/>
  </cols>
  <sheetData>
    <row r="1" spans="2:8" hidden="1" x14ac:dyDescent="0.45"/>
    <row r="2" spans="2:8" ht="20.65" hidden="1" customHeight="1" x14ac:dyDescent="0.45">
      <c r="E2" s="232" t="s">
        <v>184</v>
      </c>
    </row>
    <row r="3" spans="2:8" hidden="1" x14ac:dyDescent="0.45">
      <c r="E3" s="227" t="s">
        <v>151</v>
      </c>
    </row>
    <row r="4" spans="2:8" hidden="1" x14ac:dyDescent="0.45">
      <c r="E4" s="227" t="s">
        <v>152</v>
      </c>
    </row>
    <row r="5" spans="2:8" hidden="1" x14ac:dyDescent="0.45">
      <c r="E5" s="227" t="s">
        <v>153</v>
      </c>
    </row>
    <row r="6" spans="2:8" hidden="1" x14ac:dyDescent="0.45">
      <c r="E6" s="227"/>
    </row>
    <row r="7" spans="2:8" hidden="1" x14ac:dyDescent="0.45">
      <c r="E7" s="227" t="s">
        <v>154</v>
      </c>
    </row>
    <row r="8" spans="2:8" hidden="1" x14ac:dyDescent="0.45">
      <c r="E8" s="227" t="s">
        <v>155</v>
      </c>
    </row>
    <row r="9" spans="2:8" hidden="1" x14ac:dyDescent="0.45">
      <c r="E9" s="227" t="s">
        <v>156</v>
      </c>
    </row>
    <row r="10" spans="2:8" hidden="1" x14ac:dyDescent="0.45">
      <c r="E10" s="227"/>
    </row>
    <row r="11" spans="2:8" hidden="1" x14ac:dyDescent="0.45">
      <c r="E11" s="227" t="s">
        <v>157</v>
      </c>
    </row>
    <row r="12" spans="2:8" s="138" customFormat="1" ht="10.15" hidden="1" x14ac:dyDescent="0.45">
      <c r="E12" s="138" t="s">
        <v>158</v>
      </c>
    </row>
    <row r="13" spans="2:8" ht="21" hidden="1" x14ac:dyDescent="0.65">
      <c r="B13" s="263" t="s">
        <v>182</v>
      </c>
      <c r="C13" s="263"/>
      <c r="D13" s="263"/>
      <c r="E13" s="263"/>
      <c r="H13" s="138"/>
    </row>
    <row r="14" spans="2:8" hidden="1" x14ac:dyDescent="0.45">
      <c r="E14" s="138"/>
      <c r="H14" s="138"/>
    </row>
    <row r="15" spans="2:8" hidden="1" x14ac:dyDescent="0.45">
      <c r="E15" s="227" t="s">
        <v>183</v>
      </c>
      <c r="H15" s="138"/>
    </row>
    <row r="16" spans="2:8" ht="15.4" hidden="1" x14ac:dyDescent="0.45">
      <c r="B16" s="224">
        <v>46258</v>
      </c>
      <c r="E16" s="233" t="s">
        <v>176</v>
      </c>
      <c r="H16" s="138"/>
    </row>
    <row r="17" spans="1:8" ht="14.65" hidden="1" thickBot="1" x14ac:dyDescent="0.5">
      <c r="B17" s="191"/>
      <c r="D17" s="110"/>
      <c r="E17" s="228"/>
      <c r="F17" s="191"/>
    </row>
    <row r="18" spans="1:8" ht="28.35" hidden="1" customHeight="1" x14ac:dyDescent="0.7">
      <c r="A18" s="191"/>
      <c r="B18" s="192" t="s">
        <v>172</v>
      </c>
      <c r="C18" s="195">
        <f>'Drumclip Cost Saving Calculator'!C18</f>
        <v>0</v>
      </c>
      <c r="D18" s="218"/>
      <c r="E18" s="229" t="s">
        <v>1</v>
      </c>
    </row>
    <row r="19" spans="1:8" hidden="1" x14ac:dyDescent="0.45">
      <c r="A19" s="191"/>
      <c r="B19" s="193"/>
      <c r="C19" s="111"/>
      <c r="D19" s="219"/>
      <c r="E19" s="230" t="s">
        <v>159</v>
      </c>
      <c r="G19" s="191"/>
    </row>
    <row r="20" spans="1:8" hidden="1" x14ac:dyDescent="0.45">
      <c r="A20" s="191"/>
      <c r="B20" s="193" t="s">
        <v>173</v>
      </c>
      <c r="C20" s="196" t="s">
        <v>163</v>
      </c>
      <c r="D20" s="197"/>
      <c r="E20" s="231" t="s">
        <v>3</v>
      </c>
    </row>
    <row r="21" spans="1:8" hidden="1" x14ac:dyDescent="0.45">
      <c r="A21" s="191"/>
      <c r="B21" s="193"/>
      <c r="C21" s="196" t="s">
        <v>164</v>
      </c>
      <c r="D21" s="197"/>
      <c r="E21" s="229"/>
    </row>
    <row r="22" spans="1:8" hidden="1" x14ac:dyDescent="0.45">
      <c r="A22" s="191"/>
      <c r="B22" s="193"/>
      <c r="C22" s="196" t="s">
        <v>165</v>
      </c>
      <c r="D22" s="197"/>
      <c r="E22" s="229" t="s">
        <v>0</v>
      </c>
    </row>
    <row r="23" spans="1:8" hidden="1" x14ac:dyDescent="0.45">
      <c r="A23" s="191"/>
      <c r="B23" s="193"/>
      <c r="C23" s="196" t="s">
        <v>166</v>
      </c>
      <c r="D23" s="198"/>
      <c r="E23" s="230" t="s">
        <v>160</v>
      </c>
    </row>
    <row r="24" spans="1:8" hidden="1" x14ac:dyDescent="0.45">
      <c r="A24" s="191"/>
      <c r="B24" s="193"/>
      <c r="C24" s="111"/>
      <c r="D24" s="199"/>
      <c r="E24" s="231" t="s">
        <v>2</v>
      </c>
    </row>
    <row r="25" spans="1:8" hidden="1" x14ac:dyDescent="0.45">
      <c r="A25" s="191"/>
      <c r="B25" s="193" t="s">
        <v>174</v>
      </c>
      <c r="C25" s="200" t="s">
        <v>161</v>
      </c>
      <c r="D25" s="197"/>
      <c r="E25" s="222"/>
    </row>
    <row r="26" spans="1:8" hidden="1" x14ac:dyDescent="0.45">
      <c r="A26" s="191"/>
      <c r="B26" s="193" t="s">
        <v>175</v>
      </c>
      <c r="C26" s="196" t="s">
        <v>162</v>
      </c>
      <c r="D26" s="201"/>
      <c r="E26" s="223"/>
    </row>
    <row r="27" spans="1:8" hidden="1" x14ac:dyDescent="0.45">
      <c r="A27" s="191"/>
      <c r="B27" s="193"/>
      <c r="C27" s="202" t="s">
        <v>167</v>
      </c>
      <c r="D27" s="197"/>
      <c r="E27" s="191"/>
      <c r="F27" s="191"/>
    </row>
    <row r="28" spans="1:8" hidden="1" x14ac:dyDescent="0.45">
      <c r="A28" s="191"/>
      <c r="B28" s="193"/>
      <c r="C28" s="202" t="s">
        <v>168</v>
      </c>
      <c r="D28" s="197"/>
      <c r="E28" s="203"/>
      <c r="F28" s="191"/>
    </row>
    <row r="29" spans="1:8" ht="14.65" hidden="1" thickBot="1" x14ac:dyDescent="0.5">
      <c r="A29" s="191"/>
      <c r="B29" s="194"/>
      <c r="C29" s="220"/>
      <c r="D29" s="221"/>
      <c r="E29" s="203"/>
      <c r="F29" s="191"/>
    </row>
    <row r="30" spans="1:8" ht="30" hidden="1" customHeight="1" x14ac:dyDescent="0.5">
      <c r="B30" s="264" t="s">
        <v>181</v>
      </c>
      <c r="C30" s="264"/>
      <c r="D30" s="264"/>
      <c r="E30" s="264"/>
      <c r="H30" s="137"/>
    </row>
    <row r="31" spans="1:8" ht="14.65" hidden="1" thickBot="1" x14ac:dyDescent="0.5">
      <c r="C31" s="109"/>
      <c r="D31" s="49"/>
      <c r="E31" s="121"/>
      <c r="H31" s="137"/>
    </row>
    <row r="32" spans="1:8" ht="14.65" hidden="1" thickBot="1" x14ac:dyDescent="0.5">
      <c r="B32" s="50"/>
      <c r="C32" s="120" t="s">
        <v>7</v>
      </c>
      <c r="D32" s="49"/>
      <c r="E32" s="212" t="s">
        <v>135</v>
      </c>
      <c r="H32" s="137"/>
    </row>
    <row r="33" spans="2:8" ht="14.65" hidden="1" thickBot="1" x14ac:dyDescent="0.5">
      <c r="B33" s="50"/>
      <c r="C33" s="109"/>
      <c r="D33" s="49"/>
      <c r="E33" s="121"/>
      <c r="H33" s="138"/>
    </row>
    <row r="34" spans="2:8" ht="14.65" hidden="1" thickBot="1" x14ac:dyDescent="0.5">
      <c r="B34" s="51"/>
      <c r="C34" s="204" t="s">
        <v>148</v>
      </c>
      <c r="D34" s="49"/>
      <c r="E34" s="208">
        <v>8000</v>
      </c>
      <c r="H34" s="138"/>
    </row>
    <row r="35" spans="2:8" ht="14.65" hidden="1" thickBot="1" x14ac:dyDescent="0.5">
      <c r="B35" s="51"/>
      <c r="C35" s="205"/>
      <c r="D35" s="139"/>
      <c r="E35" s="139"/>
      <c r="F35" s="139"/>
      <c r="G35" s="139"/>
      <c r="H35" s="138"/>
    </row>
    <row r="36" spans="2:8" ht="14.65" hidden="1" thickBot="1" x14ac:dyDescent="0.5">
      <c r="B36" s="51"/>
      <c r="C36" s="120" t="s">
        <v>5</v>
      </c>
      <c r="D36" s="49"/>
      <c r="E36" s="208">
        <v>2</v>
      </c>
      <c r="G36" s="140"/>
    </row>
    <row r="37" spans="2:8" ht="14.65" hidden="1" thickBot="1" x14ac:dyDescent="0.5">
      <c r="B37" s="51"/>
      <c r="C37" s="120"/>
      <c r="D37" s="49"/>
      <c r="G37" s="141"/>
      <c r="H37" s="190"/>
    </row>
    <row r="38" spans="2:8" ht="14.65" hidden="1" thickBot="1" x14ac:dyDescent="0.5">
      <c r="B38" s="50"/>
      <c r="C38" s="120" t="s">
        <v>6</v>
      </c>
      <c r="D38" s="49"/>
      <c r="E38" s="136">
        <v>2</v>
      </c>
      <c r="H38" s="50"/>
    </row>
    <row r="39" spans="2:8" ht="14.65" hidden="1" thickBot="1" x14ac:dyDescent="0.5">
      <c r="B39" s="50"/>
      <c r="C39" s="109"/>
      <c r="D39" s="49"/>
      <c r="E39" s="121"/>
      <c r="H39" s="50"/>
    </row>
    <row r="40" spans="2:8" ht="14.65" hidden="1" thickBot="1" x14ac:dyDescent="0.5">
      <c r="B40" s="50"/>
      <c r="C40" s="215" t="s">
        <v>180</v>
      </c>
      <c r="D40" s="49"/>
      <c r="E40" s="216">
        <v>10</v>
      </c>
    </row>
    <row r="41" spans="2:8" customFormat="1" hidden="1" x14ac:dyDescent="0.45"/>
    <row r="42" spans="2:8" ht="21" hidden="1" x14ac:dyDescent="0.65">
      <c r="B42" s="133" t="s">
        <v>185</v>
      </c>
      <c r="C42" s="109"/>
      <c r="D42" s="49"/>
      <c r="E42" s="121"/>
    </row>
    <row r="43" spans="2:8" ht="22.9" hidden="1" customHeight="1" x14ac:dyDescent="0.45">
      <c r="B43" s="49" t="s">
        <v>150</v>
      </c>
      <c r="C43" s="109"/>
      <c r="D43" s="49"/>
      <c r="E43" s="121"/>
    </row>
    <row r="44" spans="2:8" ht="14.65" hidden="1" thickBot="1" x14ac:dyDescent="0.5">
      <c r="B44" s="50"/>
      <c r="C44" s="109"/>
      <c r="D44" s="49"/>
      <c r="E44" s="121"/>
    </row>
    <row r="45" spans="2:8" ht="14.65" hidden="1" thickBot="1" x14ac:dyDescent="0.5">
      <c r="B45" s="134"/>
      <c r="C45" s="120" t="s">
        <v>9</v>
      </c>
      <c r="D45" s="49"/>
      <c r="E45" s="206" t="str">
        <f>'Code table'!B18</f>
        <v>DC18A Red</v>
      </c>
    </row>
    <row r="46" spans="2:8" ht="14.65" hidden="1" thickBot="1" x14ac:dyDescent="0.5">
      <c r="B46" s="50"/>
      <c r="C46" s="120"/>
      <c r="D46" s="49"/>
      <c r="E46" s="124"/>
    </row>
    <row r="47" spans="2:8" ht="14.65" hidden="1" thickBot="1" x14ac:dyDescent="0.5">
      <c r="B47" s="51"/>
      <c r="C47" s="120" t="s">
        <v>4</v>
      </c>
      <c r="D47" s="49"/>
      <c r="E47" s="207">
        <v>12000</v>
      </c>
    </row>
    <row r="48" spans="2:8" hidden="1" x14ac:dyDescent="0.45">
      <c r="B48" s="51"/>
      <c r="C48" s="120"/>
      <c r="D48" s="49"/>
      <c r="E48" s="135"/>
    </row>
    <row r="49" spans="2:5" ht="28.05" hidden="1" customHeight="1" x14ac:dyDescent="0.75">
      <c r="B49" s="209" t="s">
        <v>10</v>
      </c>
      <c r="C49" s="125"/>
      <c r="D49" s="49"/>
    </row>
    <row r="50" spans="2:5" ht="30" hidden="1" customHeight="1" x14ac:dyDescent="0.5">
      <c r="B50" s="264" t="s">
        <v>149</v>
      </c>
      <c r="C50" s="264"/>
      <c r="D50" s="49"/>
    </row>
    <row r="51" spans="2:5" hidden="1" x14ac:dyDescent="0.45">
      <c r="D51" s="110"/>
    </row>
    <row r="52" spans="2:5" hidden="1" x14ac:dyDescent="0.45">
      <c r="B52" s="116" t="s">
        <v>11</v>
      </c>
      <c r="C52" s="117" t="str">
        <f>E45</f>
        <v>DC18A Red</v>
      </c>
      <c r="D52" s="111"/>
      <c r="E52" s="47"/>
    </row>
    <row r="53" spans="2:5" hidden="1" x14ac:dyDescent="0.45">
      <c r="B53" s="118" t="s">
        <v>12</v>
      </c>
      <c r="C53" s="122">
        <f>IF(C58&lt;1000,"",IFERROR(INDEX('Price Quotation'!$D$4:$H$6,MATCH(C52,'Price Quotation'!$B$4:$B$6,0),MATCH(C58,'Price Quotation'!$D$3:$H$3,1)),))</f>
        <v>2.960464</v>
      </c>
      <c r="D53" s="112"/>
      <c r="E53" s="114"/>
    </row>
    <row r="54" spans="2:5" hidden="1" x14ac:dyDescent="0.45">
      <c r="B54" s="114" t="s">
        <v>13</v>
      </c>
      <c r="C54" s="122">
        <v>63.5</v>
      </c>
      <c r="D54" s="113"/>
      <c r="E54" s="114" t="s">
        <v>177</v>
      </c>
    </row>
    <row r="55" spans="2:5" ht="14.65" hidden="1" thickBot="1" x14ac:dyDescent="0.5">
      <c r="B55" s="119" t="s">
        <v>14</v>
      </c>
      <c r="C55" s="123">
        <f>E40</f>
        <v>10</v>
      </c>
      <c r="D55" s="112"/>
      <c r="E55" s="115"/>
    </row>
    <row r="56" spans="2:5" ht="14.65" hidden="1" thickBot="1" x14ac:dyDescent="0.5">
      <c r="D56" s="110"/>
    </row>
    <row r="57" spans="2:5" hidden="1" x14ac:dyDescent="0.45">
      <c r="B57" s="265" t="s">
        <v>178</v>
      </c>
      <c r="C57" s="266"/>
      <c r="D57" s="56"/>
    </row>
    <row r="58" spans="2:5" hidden="1" x14ac:dyDescent="0.45">
      <c r="B58" s="57" t="s">
        <v>146</v>
      </c>
      <c r="C58" s="131">
        <f>E34*E38</f>
        <v>16000</v>
      </c>
      <c r="D58" s="58"/>
      <c r="E58" s="59"/>
    </row>
    <row r="59" spans="2:5" ht="14.65" hidden="1" thickBot="1" x14ac:dyDescent="0.5">
      <c r="B59" s="127" t="s">
        <v>147</v>
      </c>
      <c r="C59" s="132">
        <f>C58/2</f>
        <v>8000</v>
      </c>
      <c r="D59" s="129"/>
      <c r="E59" s="130"/>
    </row>
    <row r="60" spans="2:5" hidden="1" x14ac:dyDescent="0.45">
      <c r="B60" s="60" t="s">
        <v>15</v>
      </c>
      <c r="C60" s="213">
        <f>E38</f>
        <v>2</v>
      </c>
      <c r="D60" s="61"/>
      <c r="E60" s="59"/>
    </row>
    <row r="61" spans="2:5" ht="14.65" hidden="1" thickBot="1" x14ac:dyDescent="0.5">
      <c r="B61" s="60" t="s">
        <v>16</v>
      </c>
      <c r="C61" s="214">
        <v>2</v>
      </c>
      <c r="D61" s="61"/>
      <c r="E61" s="59"/>
    </row>
    <row r="62" spans="2:5" ht="14.65" hidden="1" thickBot="1" x14ac:dyDescent="0.5">
      <c r="B62" s="210" t="s">
        <v>17</v>
      </c>
      <c r="C62" s="211">
        <f>E34</f>
        <v>8000</v>
      </c>
      <c r="D62" s="62"/>
      <c r="E62" s="59"/>
    </row>
    <row r="63" spans="2:5" ht="14.65" hidden="1" thickBot="1" x14ac:dyDescent="0.5"/>
    <row r="64" spans="2:5" ht="14.65" hidden="1" thickBot="1" x14ac:dyDescent="0.5">
      <c r="B64" s="265" t="s">
        <v>179</v>
      </c>
      <c r="C64" s="266"/>
    </row>
    <row r="65" spans="2:6" hidden="1" x14ac:dyDescent="0.45">
      <c r="B65" s="57" t="s">
        <v>146</v>
      </c>
      <c r="C65" s="131">
        <f>C58*E36</f>
        <v>32000</v>
      </c>
    </row>
    <row r="66" spans="2:6" ht="14.65" hidden="1" thickBot="1" x14ac:dyDescent="0.5">
      <c r="B66" s="127" t="s">
        <v>147</v>
      </c>
      <c r="C66" s="132">
        <f>C65/2</f>
        <v>16000</v>
      </c>
    </row>
    <row r="67" spans="2:6" hidden="1" x14ac:dyDescent="0.45">
      <c r="B67" s="60" t="s">
        <v>15</v>
      </c>
      <c r="C67" s="213">
        <f>E36</f>
        <v>2</v>
      </c>
    </row>
    <row r="68" spans="2:6" ht="14.65" hidden="1" thickBot="1" x14ac:dyDescent="0.5">
      <c r="B68" s="60" t="s">
        <v>16</v>
      </c>
      <c r="C68" s="214">
        <v>2</v>
      </c>
    </row>
    <row r="69" spans="2:6" hidden="1" x14ac:dyDescent="0.45"/>
    <row r="70" spans="2:6" hidden="1" x14ac:dyDescent="0.45">
      <c r="B70" s="48" t="s">
        <v>18</v>
      </c>
    </row>
    <row r="71" spans="2:6" ht="14.65" hidden="1" thickBot="1" x14ac:dyDescent="0.5"/>
    <row r="72" spans="2:6" hidden="1" x14ac:dyDescent="0.45">
      <c r="B72" s="63" t="s">
        <v>19</v>
      </c>
      <c r="C72" s="64" t="s">
        <v>20</v>
      </c>
      <c r="D72" s="65"/>
      <c r="E72" s="66" t="s">
        <v>21</v>
      </c>
      <c r="F72" s="67"/>
    </row>
    <row r="73" spans="2:6" hidden="1" x14ac:dyDescent="0.45">
      <c r="B73" s="68" t="s">
        <v>22</v>
      </c>
      <c r="C73" s="69">
        <f>C62*C74</f>
        <v>73600</v>
      </c>
      <c r="D73" s="70"/>
      <c r="E73" s="52" t="s">
        <v>23</v>
      </c>
      <c r="F73" s="71"/>
    </row>
    <row r="74" spans="2:6" hidden="1" x14ac:dyDescent="0.45">
      <c r="B74" s="54" t="s">
        <v>24</v>
      </c>
      <c r="C74" s="72">
        <v>9.1999999999999993</v>
      </c>
      <c r="D74" s="73"/>
      <c r="E74" s="57" t="s">
        <v>25</v>
      </c>
      <c r="F74" s="53"/>
    </row>
    <row r="75" spans="2:6" hidden="1" x14ac:dyDescent="0.45">
      <c r="B75" s="74" t="s">
        <v>26</v>
      </c>
      <c r="C75" s="75">
        <f>(C73)/1100</f>
        <v>66.909090909090907</v>
      </c>
      <c r="D75" s="76"/>
      <c r="E75" s="55" t="s">
        <v>27</v>
      </c>
      <c r="F75" s="77"/>
    </row>
    <row r="76" spans="2:6" ht="14.65" hidden="1" thickBot="1" x14ac:dyDescent="0.5">
      <c r="B76" s="55" t="s">
        <v>28</v>
      </c>
      <c r="C76" s="78">
        <f>C75/24</f>
        <v>2.7878787878787876</v>
      </c>
      <c r="D76" s="79"/>
      <c r="E76" s="128" t="s">
        <v>29</v>
      </c>
      <c r="F76" s="77"/>
    </row>
    <row r="77" spans="2:6" hidden="1" x14ac:dyDescent="0.45">
      <c r="B77" s="191"/>
      <c r="C77" s="225"/>
      <c r="D77" s="225"/>
      <c r="E77" s="191"/>
      <c r="F77" s="226"/>
    </row>
    <row r="78" spans="2:6" hidden="1" x14ac:dyDescent="0.45">
      <c r="B78" s="257" t="s">
        <v>30</v>
      </c>
      <c r="C78" s="257"/>
      <c r="D78" s="257"/>
      <c r="E78" s="257"/>
      <c r="F78" s="257"/>
    </row>
    <row r="79" spans="2:6" hidden="1" x14ac:dyDescent="0.45">
      <c r="B79" s="257" t="s">
        <v>31</v>
      </c>
      <c r="C79" s="257"/>
      <c r="D79" s="257"/>
      <c r="E79" s="257"/>
      <c r="F79" s="257"/>
    </row>
    <row r="80" spans="2:6" hidden="1" x14ac:dyDescent="0.45"/>
    <row r="81" spans="2:9" hidden="1" x14ac:dyDescent="0.45">
      <c r="C81" s="51"/>
      <c r="D81" s="51"/>
    </row>
    <row r="82" spans="2:9" ht="23.25" hidden="1" x14ac:dyDescent="0.7">
      <c r="B82" s="80" t="s">
        <v>32</v>
      </c>
      <c r="C82" s="51"/>
      <c r="D82" s="51"/>
    </row>
    <row r="83" spans="2:9" ht="30.95" hidden="1" customHeight="1" thickBot="1" x14ac:dyDescent="0.5">
      <c r="C83" s="51"/>
      <c r="D83" s="51"/>
    </row>
    <row r="84" spans="2:9" ht="30.95" customHeight="1" thickBot="1" x14ac:dyDescent="0.5">
      <c r="C84" s="51"/>
      <c r="D84" s="51"/>
    </row>
    <row r="85" spans="2:9" ht="35.65" customHeight="1" x14ac:dyDescent="0.55000000000000004">
      <c r="B85" s="258" t="s">
        <v>33</v>
      </c>
      <c r="C85" s="259"/>
      <c r="D85" s="61"/>
      <c r="E85" s="258" t="s">
        <v>34</v>
      </c>
      <c r="F85" s="259"/>
      <c r="H85" s="258" t="s">
        <v>35</v>
      </c>
      <c r="I85" s="259"/>
    </row>
    <row r="86" spans="2:9" ht="22.8" customHeight="1" thickBot="1" x14ac:dyDescent="0.5">
      <c r="B86" s="55"/>
      <c r="C86" s="81"/>
      <c r="E86" s="55"/>
      <c r="F86" s="81"/>
      <c r="H86" s="55"/>
      <c r="I86" s="81"/>
    </row>
    <row r="87" spans="2:9" x14ac:dyDescent="0.45">
      <c r="B87" s="82" t="s">
        <v>19</v>
      </c>
      <c r="C87" s="83"/>
      <c r="D87" s="51"/>
      <c r="E87" s="82" t="s">
        <v>19</v>
      </c>
      <c r="F87" s="83"/>
      <c r="H87" s="82" t="s">
        <v>19</v>
      </c>
      <c r="I87" s="83"/>
    </row>
    <row r="88" spans="2:9" x14ac:dyDescent="0.45">
      <c r="B88" s="82" t="s">
        <v>36</v>
      </c>
      <c r="C88" s="83" t="s">
        <v>37</v>
      </c>
      <c r="D88" s="51"/>
      <c r="E88" s="82" t="s">
        <v>36</v>
      </c>
      <c r="F88" s="83" t="s">
        <v>37</v>
      </c>
      <c r="H88" s="82" t="s">
        <v>36</v>
      </c>
      <c r="I88" s="83" t="s">
        <v>37</v>
      </c>
    </row>
    <row r="89" spans="2:9" x14ac:dyDescent="0.45">
      <c r="B89" s="52" t="s">
        <v>38</v>
      </c>
      <c r="C89" s="84">
        <v>2687</v>
      </c>
      <c r="D89" s="85"/>
      <c r="E89" s="52" t="s">
        <v>38</v>
      </c>
      <c r="F89" s="84">
        <v>2687</v>
      </c>
      <c r="H89" s="52" t="s">
        <v>38</v>
      </c>
      <c r="I89" s="84">
        <v>2687</v>
      </c>
    </row>
    <row r="90" spans="2:9" x14ac:dyDescent="0.45">
      <c r="B90" s="57" t="s">
        <v>39</v>
      </c>
      <c r="C90" s="86">
        <v>95</v>
      </c>
      <c r="D90" s="85"/>
      <c r="E90" s="57" t="s">
        <v>39</v>
      </c>
      <c r="F90" s="86">
        <v>95</v>
      </c>
      <c r="H90" s="57" t="s">
        <v>39</v>
      </c>
      <c r="I90" s="86">
        <v>95</v>
      </c>
    </row>
    <row r="91" spans="2:9" x14ac:dyDescent="0.45">
      <c r="B91" s="57" t="s">
        <v>40</v>
      </c>
      <c r="C91" s="86">
        <v>50</v>
      </c>
      <c r="D91" s="85"/>
      <c r="E91" s="57" t="s">
        <v>40</v>
      </c>
      <c r="F91" s="86">
        <v>50</v>
      </c>
      <c r="H91" s="57" t="s">
        <v>40</v>
      </c>
      <c r="I91" s="86">
        <v>50</v>
      </c>
    </row>
    <row r="92" spans="2:9" x14ac:dyDescent="0.45">
      <c r="B92" s="57" t="s">
        <v>41</v>
      </c>
      <c r="C92" s="86">
        <v>445</v>
      </c>
      <c r="D92" s="85"/>
      <c r="E92" s="57" t="s">
        <v>41</v>
      </c>
      <c r="F92" s="86">
        <v>445</v>
      </c>
      <c r="H92" s="57" t="s">
        <v>41</v>
      </c>
      <c r="I92" s="86">
        <v>445</v>
      </c>
    </row>
    <row r="93" spans="2:9" x14ac:dyDescent="0.45">
      <c r="B93" s="57"/>
      <c r="C93" s="86"/>
      <c r="D93" s="85"/>
      <c r="E93" s="57"/>
      <c r="F93" s="86"/>
      <c r="H93" s="57"/>
      <c r="I93" s="86"/>
    </row>
    <row r="94" spans="2:9" x14ac:dyDescent="0.45">
      <c r="B94" s="87" t="s">
        <v>42</v>
      </c>
      <c r="C94" s="88">
        <f>SUM(C89:C93)</f>
        <v>3277</v>
      </c>
      <c r="D94" s="89"/>
      <c r="E94" s="87" t="s">
        <v>42</v>
      </c>
      <c r="F94" s="88">
        <f>SUM(F89:F93)</f>
        <v>3277</v>
      </c>
      <c r="H94" s="87" t="s">
        <v>42</v>
      </c>
      <c r="I94" s="88">
        <f>SUM(I89:I93)</f>
        <v>3277</v>
      </c>
    </row>
    <row r="95" spans="2:9" x14ac:dyDescent="0.45">
      <c r="B95" s="90"/>
      <c r="C95" s="91"/>
      <c r="D95" s="89"/>
      <c r="E95" s="90"/>
      <c r="F95" s="91"/>
      <c r="H95" s="90"/>
      <c r="I95" s="91"/>
    </row>
    <row r="96" spans="2:9" x14ac:dyDescent="0.45">
      <c r="B96" s="90" t="s">
        <v>43</v>
      </c>
      <c r="C96" s="92"/>
      <c r="D96" s="85"/>
      <c r="E96" s="90" t="s">
        <v>44</v>
      </c>
      <c r="F96" s="92"/>
      <c r="H96" s="90"/>
      <c r="I96" s="92">
        <v>0</v>
      </c>
    </row>
    <row r="97" spans="2:9" x14ac:dyDescent="0.45">
      <c r="B97" s="68" t="s">
        <v>45</v>
      </c>
      <c r="C97" s="84"/>
      <c r="D97" s="85"/>
      <c r="E97" s="68" t="s">
        <v>46</v>
      </c>
      <c r="F97" s="84"/>
      <c r="H97" s="68" t="s">
        <v>46</v>
      </c>
      <c r="I97" s="84"/>
    </row>
    <row r="98" spans="2:9" x14ac:dyDescent="0.45">
      <c r="B98" s="54" t="s">
        <v>47</v>
      </c>
      <c r="C98" s="86">
        <f>C75*C54</f>
        <v>4248.727272727273</v>
      </c>
      <c r="D98" s="85"/>
      <c r="E98" s="54" t="s">
        <v>47</v>
      </c>
      <c r="F98" s="86">
        <f>C98</f>
        <v>4248.727272727273</v>
      </c>
      <c r="H98" s="54" t="s">
        <v>48</v>
      </c>
      <c r="I98" s="86">
        <f>F98/2</f>
        <v>2124.3636363636365</v>
      </c>
    </row>
    <row r="99" spans="2:9" x14ac:dyDescent="0.45">
      <c r="B99" s="54" t="str">
        <f>E45</f>
        <v>DC18A Red</v>
      </c>
      <c r="C99" s="86">
        <f>C53*C59</f>
        <v>23683.712</v>
      </c>
      <c r="D99" s="85"/>
      <c r="E99" s="93" t="str">
        <f>E45</f>
        <v>DC18A Red</v>
      </c>
      <c r="F99" s="86">
        <f>F109*C53</f>
        <v>8684.0277333333343</v>
      </c>
      <c r="H99" s="93" t="str">
        <f>E45</f>
        <v>DC18A Red</v>
      </c>
      <c r="I99" s="86">
        <v>0</v>
      </c>
    </row>
    <row r="100" spans="2:9" x14ac:dyDescent="0.45">
      <c r="B100" s="54"/>
      <c r="C100" s="86"/>
      <c r="D100" s="85"/>
      <c r="E100" s="54"/>
      <c r="F100" s="86"/>
      <c r="H100" s="54" t="s">
        <v>49</v>
      </c>
      <c r="I100" s="86">
        <f>C55*C62</f>
        <v>80000</v>
      </c>
    </row>
    <row r="101" spans="2:9" x14ac:dyDescent="0.45">
      <c r="B101" s="54" t="s">
        <v>50</v>
      </c>
      <c r="C101" s="94">
        <f>SUM(C97:C100)</f>
        <v>27932.439272727272</v>
      </c>
      <c r="D101" s="89"/>
      <c r="E101" s="54" t="s">
        <v>50</v>
      </c>
      <c r="F101" s="94">
        <f>SUM(F97:F100)</f>
        <v>12932.755006060608</v>
      </c>
      <c r="H101" s="54" t="s">
        <v>50</v>
      </c>
      <c r="I101" s="94">
        <f>SUM(I97:I100)</f>
        <v>82124.363636363632</v>
      </c>
    </row>
    <row r="102" spans="2:9" x14ac:dyDescent="0.45">
      <c r="B102" s="74"/>
      <c r="C102" s="95"/>
      <c r="D102" s="85"/>
      <c r="E102" s="74"/>
      <c r="F102" s="95"/>
      <c r="H102" s="74"/>
      <c r="I102" s="95"/>
    </row>
    <row r="103" spans="2:9" x14ac:dyDescent="0.45">
      <c r="B103" s="96" t="s">
        <v>51</v>
      </c>
      <c r="C103" s="97">
        <f>C101+C94</f>
        <v>31209.439272727272</v>
      </c>
      <c r="D103" s="89"/>
      <c r="E103" s="96" t="s">
        <v>51</v>
      </c>
      <c r="F103" s="97">
        <f>F101+F94</f>
        <v>16209.755006060608</v>
      </c>
      <c r="H103" s="96" t="s">
        <v>51</v>
      </c>
      <c r="I103" s="97">
        <f>I101+I94</f>
        <v>85401.363636363632</v>
      </c>
    </row>
    <row r="106" spans="2:9" x14ac:dyDescent="0.45">
      <c r="B106" s="260" t="s">
        <v>52</v>
      </c>
      <c r="C106" s="261"/>
      <c r="D106" s="98"/>
      <c r="E106" s="261" t="s">
        <v>53</v>
      </c>
      <c r="F106" s="262"/>
      <c r="H106" s="260" t="s">
        <v>54</v>
      </c>
      <c r="I106" s="262"/>
    </row>
    <row r="107" spans="2:9" x14ac:dyDescent="0.45">
      <c r="B107" s="99" t="s">
        <v>55</v>
      </c>
      <c r="C107" s="100">
        <f>C62</f>
        <v>8000</v>
      </c>
      <c r="D107" s="101"/>
      <c r="E107" s="48" t="s">
        <v>56</v>
      </c>
      <c r="F107" s="102">
        <v>3</v>
      </c>
      <c r="H107" s="99" t="s">
        <v>55</v>
      </c>
      <c r="I107" s="100">
        <f>C62</f>
        <v>8000</v>
      </c>
    </row>
    <row r="108" spans="2:9" x14ac:dyDescent="0.45">
      <c r="B108" s="54"/>
      <c r="C108" s="103"/>
      <c r="D108" s="86"/>
      <c r="E108" s="48" t="s">
        <v>57</v>
      </c>
      <c r="F108" s="104">
        <v>0.1</v>
      </c>
      <c r="H108" s="54"/>
      <c r="I108" s="103"/>
    </row>
    <row r="109" spans="2:9" x14ac:dyDescent="0.45">
      <c r="B109" s="54"/>
      <c r="C109" s="103"/>
      <c r="D109" s="86"/>
      <c r="E109" s="48" t="s">
        <v>58</v>
      </c>
      <c r="F109" s="105">
        <f>(C59*(1*(100%+F108)))/F107</f>
        <v>2933.3333333333335</v>
      </c>
      <c r="H109" s="54"/>
      <c r="I109" s="103"/>
    </row>
    <row r="110" spans="2:9" x14ac:dyDescent="0.45">
      <c r="B110" s="106"/>
      <c r="C110" s="101"/>
      <c r="D110" s="86"/>
      <c r="F110" s="105"/>
      <c r="H110" s="106"/>
      <c r="I110" s="101"/>
    </row>
    <row r="111" spans="2:9" x14ac:dyDescent="0.45">
      <c r="B111" s="54" t="s">
        <v>59</v>
      </c>
      <c r="C111" s="86">
        <f>$C$94/C62</f>
        <v>0.40962500000000002</v>
      </c>
      <c r="D111" s="86"/>
      <c r="E111" s="54" t="s">
        <v>59</v>
      </c>
      <c r="F111" s="86">
        <f>F94/C62</f>
        <v>0.40962500000000002</v>
      </c>
      <c r="H111" s="54" t="s">
        <v>59</v>
      </c>
      <c r="I111" s="86">
        <f>I94/C62</f>
        <v>0.40962500000000002</v>
      </c>
    </row>
    <row r="112" spans="2:9" x14ac:dyDescent="0.45">
      <c r="B112" s="54" t="str">
        <f>B54</f>
        <v>Signode Tenax T2220 (1 rol of 1.100 Meter)</v>
      </c>
      <c r="C112" s="86">
        <f>(C54/1100)*C74</f>
        <v>0.53109090909090906</v>
      </c>
      <c r="D112" s="103"/>
      <c r="E112" s="48" t="s">
        <v>22</v>
      </c>
      <c r="F112" s="86">
        <f>C112</f>
        <v>0.53109090909090906</v>
      </c>
      <c r="H112" s="54" t="s">
        <v>22</v>
      </c>
      <c r="I112" s="86">
        <f>(I98/C62)</f>
        <v>0.26554545454545458</v>
      </c>
    </row>
    <row r="113" spans="2:9" x14ac:dyDescent="0.45">
      <c r="B113" s="93" t="str">
        <f>E45</f>
        <v>DC18A Red</v>
      </c>
      <c r="C113" s="86">
        <f>(C99/C62)</f>
        <v>2.960464</v>
      </c>
      <c r="D113" s="94"/>
      <c r="E113" s="93" t="str">
        <f>E45</f>
        <v>DC18A Red</v>
      </c>
      <c r="F113" s="86">
        <f>(F99/C62)</f>
        <v>1.0855034666666667</v>
      </c>
      <c r="H113" s="54" t="s">
        <v>49</v>
      </c>
      <c r="I113" s="107">
        <f>I100/C62</f>
        <v>10</v>
      </c>
    </row>
    <row r="114" spans="2:9" x14ac:dyDescent="0.45">
      <c r="B114" s="54"/>
      <c r="C114" s="103"/>
      <c r="D114" s="103"/>
      <c r="F114" s="54"/>
      <c r="H114" s="54"/>
      <c r="I114" s="103"/>
    </row>
    <row r="115" spans="2:9" x14ac:dyDescent="0.45">
      <c r="B115" s="108" t="s">
        <v>60</v>
      </c>
      <c r="C115" s="88">
        <f>SUM(C111:C114)</f>
        <v>3.9011799090909092</v>
      </c>
      <c r="D115" s="103"/>
      <c r="E115" s="108" t="s">
        <v>60</v>
      </c>
      <c r="F115" s="217">
        <f>SUM(F111:F113)</f>
        <v>2.0262193757575759</v>
      </c>
      <c r="H115" s="108" t="s">
        <v>60</v>
      </c>
      <c r="I115" s="88">
        <f>SUM(I111:I114)</f>
        <v>10.675170454545455</v>
      </c>
    </row>
  </sheetData>
  <mergeCells count="13">
    <mergeCell ref="B13:E13"/>
    <mergeCell ref="B30:E30"/>
    <mergeCell ref="B79:F79"/>
    <mergeCell ref="B50:C50"/>
    <mergeCell ref="B57:C57"/>
    <mergeCell ref="B78:F78"/>
    <mergeCell ref="B64:C64"/>
    <mergeCell ref="B85:C85"/>
    <mergeCell ref="E85:F85"/>
    <mergeCell ref="H85:I85"/>
    <mergeCell ref="B106:C106"/>
    <mergeCell ref="E106:F106"/>
    <mergeCell ref="H106:I106"/>
  </mergeCells>
  <conditionalFormatting sqref="B13">
    <cfRule type="containsText" dxfId="9" priority="1" operator="containsText" text="DC18A Red">
      <formula>NOT(ISERROR(SEARCH("DC18A Red",B13)))</formula>
    </cfRule>
    <cfRule type="expression" dxfId="8" priority="2">
      <formula>ISNUMBER(SEARCH("Orange",B13))</formula>
    </cfRule>
    <cfRule type="expression" dxfId="7" priority="3">
      <formula>ISNUMBER(SEARCH("Green",B13))</formula>
    </cfRule>
  </conditionalFormatting>
  <conditionalFormatting sqref="B71:J117 E3:E11 A12:XFD12 H13:H16 E14 B16 H18 E18:E26 D27 F27 I27:J29 C28:F28 B29:F29 B30 F30 H30:J37 C31:F31 B32:E32 B33:F33 B34:D34 F34 B35:C35 B36:D37 F36:F37 B38:J39 B40:D40 F40:G40 I40:J40 B42:G48 I42:J48 B49:J63 B64:C68 D65:J68 B69:J69">
    <cfRule type="containsText" dxfId="6" priority="17" operator="containsText" text="DC18A Red">
      <formula>NOT(ISERROR(SEARCH("DC18A Red",A3)))</formula>
    </cfRule>
  </conditionalFormatting>
  <conditionalFormatting sqref="C103 F103 I103">
    <cfRule type="colorScale" priority="5">
      <colorScale>
        <cfvo type="min"/>
        <cfvo type="percentile" val="50"/>
        <cfvo type="max"/>
        <color rgb="FF73CB77"/>
        <color rgb="FFA9DFAC"/>
        <color rgb="FFFFEF9C"/>
      </colorScale>
    </cfRule>
  </conditionalFormatting>
  <conditionalFormatting sqref="C115 F115 I115">
    <cfRule type="colorScale" priority="4">
      <colorScale>
        <cfvo type="min"/>
        <cfvo type="percentile" val="50"/>
        <cfvo type="max"/>
        <color rgb="FF73CB77"/>
        <color rgb="FFA9DFAC"/>
        <color rgb="FFFFEF9C"/>
      </colorScale>
    </cfRule>
  </conditionalFormatting>
  <conditionalFormatting sqref="E3:E11 A12:XFD12 H13:H16 E14 B16 H18 E18:E26 D27 F27 I27:J29 C28:F28 B29:F29 B30 F30 H30:J37 C31:F31 B32:E32 B33:F33 B34:D34 F34 B35:C35 B36:D37 F36:F37 B38:J39 B40:D40 F40:G40 I40:J40 B42:G48 I42:J48 B49:J63 B64:C68 D65:J68 B69:J69 B71:J117">
    <cfRule type="expression" dxfId="5" priority="19">
      <formula>ISNUMBER(SEARCH("Orange",A3))</formula>
    </cfRule>
    <cfRule type="expression" dxfId="4" priority="23">
      <formula>ISNUMBER(SEARCH("Green",A3))</formula>
    </cfRule>
  </conditionalFormatting>
  <hyperlinks>
    <hyperlink ref="E24" r:id="rId1" xr:uid="{B7F7BAC5-A39F-4F01-8CF6-EDFFF47D9333}"/>
  </hyperlinks>
  <pageMargins left="0.51181102362204722" right="0.51181102362204722" top="0.35433070866141736" bottom="0.35433070866141736" header="0.31496062992125984" footer="0.31496062992125984"/>
  <pageSetup paperSize="9" scale="63" fitToHeight="0" orientation="landscape" r:id="rId2"/>
  <colBreaks count="1" manualBreakCount="1">
    <brk id="7" max="113" man="1"/>
  </colBreaks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'Code table'!$B$14:$B$15</xm:f>
          </x14:formula1>
          <xm:sqref>E38</xm:sqref>
        </x14:dataValidation>
        <x14:dataValidation type="list" xr:uid="{00000000-0002-0000-0000-000001000000}">
          <x14:formula1>
            <xm:f>'Code table'!$C$5:$C$11</xm:f>
          </x14:formula1>
          <xm:sqref>E32</xm:sqref>
        </x14:dataValidation>
        <x14:dataValidation type="list" xr:uid="{00000000-0002-0000-0000-000002000000}">
          <x14:formula1>
            <xm:f>'Price Quotation'!$B$4:$B$6</xm:f>
          </x14:formula1>
          <xm:sqref>E45:E48 E38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3:P58"/>
  <sheetViews>
    <sheetView zoomScaleNormal="100" workbookViewId="0">
      <selection activeCell="B3" sqref="B3"/>
    </sheetView>
  </sheetViews>
  <sheetFormatPr defaultColWidth="9" defaultRowHeight="14.25" x14ac:dyDescent="0.45"/>
  <cols>
    <col min="1" max="1" width="55" style="2" customWidth="1"/>
    <col min="2" max="2" width="13.33203125" style="2" customWidth="1"/>
    <col min="3" max="3" width="8.86328125" style="2" bestFit="1" customWidth="1"/>
    <col min="4" max="4" width="3.33203125" style="2" customWidth="1"/>
    <col min="5" max="5" width="61.1328125" style="2" customWidth="1"/>
    <col min="6" max="6" width="12.86328125" style="2" customWidth="1"/>
    <col min="7" max="7" width="12.6640625" style="2" customWidth="1"/>
    <col min="8" max="8" width="4.73046875" style="2" bestFit="1" customWidth="1"/>
    <col min="9" max="9" width="1.3984375" style="2" customWidth="1"/>
    <col min="10" max="10" width="33.46484375" style="2" bestFit="1" customWidth="1"/>
    <col min="11" max="11" width="13.33203125" style="2" customWidth="1"/>
    <col min="12" max="12" width="11.33203125" style="2" customWidth="1"/>
    <col min="13" max="13" width="2.33203125" style="2" customWidth="1"/>
    <col min="14" max="14" width="23.3984375" style="2" customWidth="1"/>
    <col min="15" max="15" width="13.33203125" style="2" customWidth="1"/>
    <col min="16" max="16" width="11.33203125" style="2" customWidth="1"/>
    <col min="17" max="16384" width="9" style="2"/>
  </cols>
  <sheetData>
    <row r="3" spans="1:16" ht="21" x14ac:dyDescent="0.65">
      <c r="A3" s="151" t="s">
        <v>169</v>
      </c>
      <c r="B3" s="151" t="str">
        <f>'Compare your options'!C52</f>
        <v>DC18A Red</v>
      </c>
      <c r="C3" s="44"/>
      <c r="E3" s="44"/>
      <c r="F3" s="44"/>
      <c r="G3" s="44"/>
      <c r="J3" s="3"/>
      <c r="K3" s="3"/>
    </row>
    <row r="4" spans="1:16" x14ac:dyDescent="0.45">
      <c r="A4" s="44"/>
      <c r="B4" s="44"/>
      <c r="C4" s="44"/>
      <c r="E4" s="44"/>
      <c r="F4" s="44"/>
      <c r="G4" s="44"/>
      <c r="J4" s="3"/>
      <c r="K4" s="3"/>
    </row>
    <row r="5" spans="1:16" x14ac:dyDescent="0.45">
      <c r="A5" s="44"/>
      <c r="B5" s="44"/>
      <c r="C5" s="44"/>
      <c r="E5" s="44"/>
      <c r="F5" s="44"/>
      <c r="G5" s="44"/>
      <c r="J5" s="3"/>
      <c r="K5" s="3"/>
    </row>
    <row r="7" spans="1:16" ht="31.05" customHeight="1" x14ac:dyDescent="0.5">
      <c r="A7" s="164" t="s">
        <v>61</v>
      </c>
      <c r="B7" s="145"/>
      <c r="C7" s="145"/>
      <c r="D7" s="146"/>
      <c r="E7" s="145" t="s">
        <v>62</v>
      </c>
      <c r="F7" s="145"/>
      <c r="G7" s="145"/>
      <c r="H7" s="146"/>
      <c r="I7" s="145"/>
      <c r="J7" s="147" t="s">
        <v>63</v>
      </c>
      <c r="K7" s="145" t="s">
        <v>64</v>
      </c>
      <c r="L7" s="145"/>
      <c r="M7" s="145"/>
      <c r="N7" s="147" t="s">
        <v>63</v>
      </c>
      <c r="O7" s="145" t="s">
        <v>65</v>
      </c>
      <c r="P7" s="148"/>
    </row>
    <row r="8" spans="1:16" x14ac:dyDescent="0.45">
      <c r="A8" s="6"/>
      <c r="B8" s="157"/>
      <c r="C8" s="157"/>
      <c r="D8" s="7"/>
      <c r="E8" s="157"/>
      <c r="F8" s="157"/>
      <c r="G8" s="157"/>
      <c r="H8" s="7"/>
      <c r="J8" s="6" t="s">
        <v>66</v>
      </c>
      <c r="K8" s="8">
        <v>2.25</v>
      </c>
      <c r="L8" s="2" t="s">
        <v>67</v>
      </c>
      <c r="N8" s="6" t="s">
        <v>66</v>
      </c>
      <c r="O8" s="8">
        <v>2.25</v>
      </c>
      <c r="P8" s="7" t="s">
        <v>67</v>
      </c>
    </row>
    <row r="9" spans="1:16" x14ac:dyDescent="0.45">
      <c r="A9" s="6" t="s">
        <v>68</v>
      </c>
      <c r="B9" s="157">
        <v>22.5</v>
      </c>
      <c r="C9" s="157" t="s">
        <v>69</v>
      </c>
      <c r="D9" s="7"/>
      <c r="E9" s="6" t="s">
        <v>68</v>
      </c>
      <c r="F9" s="165">
        <v>0.14000000000000001</v>
      </c>
      <c r="G9" s="157" t="s">
        <v>69</v>
      </c>
      <c r="H9" s="7"/>
      <c r="J9" s="6" t="s">
        <v>70</v>
      </c>
      <c r="K9" s="9">
        <v>3</v>
      </c>
      <c r="L9" s="2" t="s">
        <v>71</v>
      </c>
      <c r="N9" s="6" t="s">
        <v>70</v>
      </c>
      <c r="O9" s="9">
        <v>3.1</v>
      </c>
      <c r="P9" s="7" t="s">
        <v>71</v>
      </c>
    </row>
    <row r="10" spans="1:16" x14ac:dyDescent="0.45">
      <c r="A10" s="6" t="s">
        <v>72</v>
      </c>
      <c r="B10" s="157">
        <v>22</v>
      </c>
      <c r="C10" s="157" t="s">
        <v>73</v>
      </c>
      <c r="D10" s="7"/>
      <c r="E10" s="6" t="s">
        <v>72</v>
      </c>
      <c r="F10" s="157">
        <f>B10</f>
        <v>22</v>
      </c>
      <c r="G10" s="157" t="s">
        <v>73</v>
      </c>
      <c r="H10" s="7"/>
      <c r="J10" s="6"/>
      <c r="M10" s="7"/>
      <c r="P10" s="7"/>
    </row>
    <row r="11" spans="1:16" x14ac:dyDescent="0.45">
      <c r="A11" s="6" t="s">
        <v>74</v>
      </c>
      <c r="B11" s="166">
        <f>B10*B9</f>
        <v>495</v>
      </c>
      <c r="C11" s="157" t="s">
        <v>75</v>
      </c>
      <c r="D11" s="7"/>
      <c r="E11" s="157" t="s">
        <v>16</v>
      </c>
      <c r="F11" s="157">
        <v>2</v>
      </c>
      <c r="G11" s="157" t="s">
        <v>73</v>
      </c>
      <c r="H11" s="7"/>
      <c r="J11" s="6" t="s">
        <v>76</v>
      </c>
      <c r="K11" s="10">
        <f>(200/$K$9)*$K$8</f>
        <v>150</v>
      </c>
      <c r="N11" s="6" t="s">
        <v>76</v>
      </c>
      <c r="O11" s="10">
        <f>(200/$O$9)*$O$8</f>
        <v>145.16129032258064</v>
      </c>
      <c r="P11" s="7"/>
    </row>
    <row r="12" spans="1:16" x14ac:dyDescent="0.45">
      <c r="A12" s="6"/>
      <c r="B12" s="157"/>
      <c r="C12" s="157"/>
      <c r="D12" s="7"/>
      <c r="E12" s="157" t="s">
        <v>77</v>
      </c>
      <c r="F12" s="157">
        <f>F10*F11</f>
        <v>44</v>
      </c>
      <c r="G12" s="157" t="s">
        <v>73</v>
      </c>
      <c r="H12" s="7"/>
      <c r="J12" s="6" t="s">
        <v>76</v>
      </c>
      <c r="K12" s="10">
        <f>(500/$K$9)*$K$8</f>
        <v>375</v>
      </c>
      <c r="N12" s="6" t="s">
        <v>76</v>
      </c>
      <c r="O12" s="10">
        <f>(500/$O$9)*$O$8</f>
        <v>362.90322580645159</v>
      </c>
      <c r="P12" s="7"/>
    </row>
    <row r="13" spans="1:16" x14ac:dyDescent="0.45">
      <c r="A13" s="157" t="s">
        <v>78</v>
      </c>
      <c r="B13" s="167">
        <f>'Compare your options'!C58</f>
        <v>16000</v>
      </c>
      <c r="C13" s="157" t="s">
        <v>73</v>
      </c>
      <c r="D13" s="7"/>
      <c r="E13" s="157"/>
      <c r="F13" s="157"/>
      <c r="G13" s="157"/>
      <c r="H13" s="7"/>
      <c r="J13" s="6" t="s">
        <v>79</v>
      </c>
      <c r="K13" s="10">
        <f>(1000/$K$9)*$K$8</f>
        <v>750</v>
      </c>
      <c r="N13" s="6" t="s">
        <v>79</v>
      </c>
      <c r="O13" s="10">
        <f>(1000/$O$9)*$O$8</f>
        <v>725.80645161290317</v>
      </c>
      <c r="P13" s="7"/>
    </row>
    <row r="14" spans="1:16" x14ac:dyDescent="0.45">
      <c r="A14" s="6" t="s">
        <v>80</v>
      </c>
      <c r="B14" s="157">
        <v>88</v>
      </c>
      <c r="C14" s="157" t="s">
        <v>73</v>
      </c>
      <c r="D14" s="7"/>
      <c r="E14" s="157" t="s">
        <v>81</v>
      </c>
      <c r="F14" s="168">
        <f>F12*F9</f>
        <v>6.16</v>
      </c>
      <c r="G14" s="157" t="s">
        <v>75</v>
      </c>
      <c r="H14" s="7"/>
      <c r="J14" s="6"/>
      <c r="N14" s="6"/>
      <c r="P14" s="7"/>
    </row>
    <row r="15" spans="1:16" x14ac:dyDescent="0.45">
      <c r="A15" s="6" t="s">
        <v>82</v>
      </c>
      <c r="B15" s="169">
        <f>B13/B14</f>
        <v>181.81818181818181</v>
      </c>
      <c r="C15" s="157" t="s">
        <v>83</v>
      </c>
      <c r="D15" s="7"/>
      <c r="E15" s="157"/>
      <c r="F15" s="157"/>
      <c r="G15" s="157"/>
      <c r="H15" s="7"/>
      <c r="J15" s="6" t="s">
        <v>84</v>
      </c>
      <c r="K15" s="10">
        <f>K11*$F$20</f>
        <v>54545.454545454544</v>
      </c>
      <c r="N15" s="6" t="s">
        <v>84</v>
      </c>
      <c r="O15" s="10">
        <f>O11*$F$20</f>
        <v>52785.923753665687</v>
      </c>
      <c r="P15" s="7"/>
    </row>
    <row r="16" spans="1:16" x14ac:dyDescent="0.45">
      <c r="A16" s="6"/>
      <c r="B16" s="157"/>
      <c r="C16" s="157"/>
      <c r="D16" s="7"/>
      <c r="E16" s="157" t="s">
        <v>85</v>
      </c>
      <c r="F16" s="169">
        <f>B13</f>
        <v>16000</v>
      </c>
      <c r="G16" s="157" t="s">
        <v>73</v>
      </c>
      <c r="H16" s="7"/>
      <c r="J16" s="6" t="s">
        <v>86</v>
      </c>
      <c r="K16" s="10">
        <f>K12*$F$20</f>
        <v>136363.63636363635</v>
      </c>
      <c r="N16" s="6" t="s">
        <v>86</v>
      </c>
      <c r="O16" s="10">
        <f>O12*$F$20</f>
        <v>131964.8093841642</v>
      </c>
      <c r="P16" s="7"/>
    </row>
    <row r="17" spans="1:16" x14ac:dyDescent="0.45">
      <c r="A17" s="6" t="s">
        <v>87</v>
      </c>
      <c r="B17" s="170">
        <f>B15*B11</f>
        <v>90000</v>
      </c>
      <c r="C17" s="157" t="s">
        <v>75</v>
      </c>
      <c r="D17" s="7"/>
      <c r="E17" s="157" t="s">
        <v>88</v>
      </c>
      <c r="F17" s="162">
        <f>'Compare your options'!C62</f>
        <v>8000</v>
      </c>
      <c r="G17" s="157" t="s">
        <v>73</v>
      </c>
      <c r="H17" s="7"/>
      <c r="J17" s="6" t="s">
        <v>89</v>
      </c>
      <c r="K17" s="10">
        <f>K13*$F$20</f>
        <v>272727.27272727271</v>
      </c>
      <c r="N17" s="6" t="s">
        <v>89</v>
      </c>
      <c r="O17" s="10">
        <f>O13*$F$20</f>
        <v>263929.61876832839</v>
      </c>
      <c r="P17" s="7"/>
    </row>
    <row r="18" spans="1:16" x14ac:dyDescent="0.45">
      <c r="A18" s="6"/>
      <c r="B18" s="157"/>
      <c r="C18" s="157"/>
      <c r="D18" s="7"/>
      <c r="E18" s="157"/>
      <c r="F18" s="157"/>
      <c r="G18" s="157"/>
      <c r="H18" s="7"/>
      <c r="J18" s="6"/>
      <c r="K18" s="10"/>
      <c r="M18" s="7"/>
      <c r="O18" s="10"/>
      <c r="P18" s="7"/>
    </row>
    <row r="19" spans="1:16" x14ac:dyDescent="0.45">
      <c r="A19" s="157"/>
      <c r="B19" s="157"/>
      <c r="C19" s="157"/>
      <c r="D19" s="7"/>
      <c r="E19" s="157" t="s">
        <v>90</v>
      </c>
      <c r="F19" s="157">
        <v>22</v>
      </c>
      <c r="G19" s="157" t="s">
        <v>73</v>
      </c>
      <c r="H19" s="12"/>
      <c r="J19" s="6" t="s">
        <v>91</v>
      </c>
      <c r="K19" s="13">
        <f>K15-O15</f>
        <v>1759.5307917888567</v>
      </c>
      <c r="L19" s="10" t="s">
        <v>92</v>
      </c>
      <c r="M19" s="7"/>
      <c r="P19" s="7"/>
    </row>
    <row r="20" spans="1:16" x14ac:dyDescent="0.45">
      <c r="A20" s="157" t="s">
        <v>93</v>
      </c>
      <c r="B20" s="157"/>
      <c r="C20" s="157"/>
      <c r="D20" s="7"/>
      <c r="E20" s="157" t="s">
        <v>82</v>
      </c>
      <c r="F20" s="171">
        <f>F17/F19</f>
        <v>363.63636363636363</v>
      </c>
      <c r="G20" s="157" t="s">
        <v>94</v>
      </c>
      <c r="H20" s="7"/>
      <c r="J20" s="6" t="s">
        <v>95</v>
      </c>
      <c r="K20" s="13">
        <f t="shared" ref="K20:K21" si="0">K16-O16</f>
        <v>4398.8269794721564</v>
      </c>
      <c r="L20" s="10" t="s">
        <v>92</v>
      </c>
      <c r="M20" s="7"/>
      <c r="P20" s="7"/>
    </row>
    <row r="21" spans="1:16" x14ac:dyDescent="0.45">
      <c r="A21" s="157"/>
      <c r="B21" s="157"/>
      <c r="C21" s="157"/>
      <c r="D21" s="7"/>
      <c r="E21" s="157"/>
      <c r="F21" s="157"/>
      <c r="G21" s="157"/>
      <c r="H21" s="7"/>
      <c r="J21" s="6" t="s">
        <v>96</v>
      </c>
      <c r="K21" s="13">
        <f t="shared" si="0"/>
        <v>8797.6539589443128</v>
      </c>
      <c r="L21" s="10" t="s">
        <v>92</v>
      </c>
      <c r="M21" s="7"/>
      <c r="P21" s="7"/>
    </row>
    <row r="22" spans="1:16" x14ac:dyDescent="0.45">
      <c r="A22" s="6"/>
      <c r="B22" s="157"/>
      <c r="C22" s="157"/>
      <c r="D22" s="7"/>
      <c r="E22" s="157" t="s">
        <v>97</v>
      </c>
      <c r="F22" s="170">
        <f>F20*F14</f>
        <v>2240</v>
      </c>
      <c r="G22" s="157" t="s">
        <v>75</v>
      </c>
      <c r="H22" s="7"/>
      <c r="J22" s="6"/>
      <c r="M22" s="7"/>
      <c r="P22" s="7"/>
    </row>
    <row r="23" spans="1:16" x14ac:dyDescent="0.45">
      <c r="A23" s="6"/>
      <c r="B23" s="171"/>
      <c r="C23" s="157"/>
      <c r="D23" s="7"/>
      <c r="E23" s="157" t="s">
        <v>98</v>
      </c>
      <c r="F23" s="170">
        <f>B17-F22</f>
        <v>87760</v>
      </c>
      <c r="G23" s="157" t="s">
        <v>75</v>
      </c>
      <c r="H23" s="7"/>
      <c r="J23" s="21"/>
      <c r="K23" s="19"/>
      <c r="L23" s="19"/>
      <c r="M23" s="18"/>
      <c r="N23" s="19"/>
      <c r="O23" s="19"/>
      <c r="P23" s="18"/>
    </row>
    <row r="24" spans="1:16" x14ac:dyDescent="0.45">
      <c r="A24" s="14"/>
      <c r="B24" s="172"/>
      <c r="C24" s="158"/>
      <c r="D24" s="7"/>
      <c r="E24" s="158" t="s">
        <v>99</v>
      </c>
      <c r="F24" s="173">
        <f>100%-(F22/B17)</f>
        <v>0.97511111111111115</v>
      </c>
      <c r="G24" s="174"/>
      <c r="H24" s="7"/>
      <c r="I24" s="6"/>
      <c r="P24" s="4"/>
    </row>
    <row r="25" spans="1:16" x14ac:dyDescent="0.45">
      <c r="A25" s="14"/>
      <c r="B25" s="172"/>
      <c r="C25" s="158"/>
      <c r="D25" s="7"/>
      <c r="E25" s="157"/>
      <c r="F25" s="157"/>
      <c r="G25" s="157"/>
      <c r="H25" s="7"/>
      <c r="I25" s="6"/>
    </row>
    <row r="26" spans="1:16" x14ac:dyDescent="0.45">
      <c r="A26" s="14"/>
      <c r="B26" s="172"/>
      <c r="C26" s="158"/>
      <c r="D26" s="7"/>
      <c r="E26" s="157"/>
      <c r="F26" s="157"/>
      <c r="G26" s="157"/>
      <c r="H26" s="7"/>
      <c r="I26" s="6"/>
    </row>
    <row r="27" spans="1:16" x14ac:dyDescent="0.45">
      <c r="A27" s="14"/>
      <c r="B27" s="172"/>
      <c r="C27" s="158"/>
      <c r="D27" s="7"/>
      <c r="E27" s="157"/>
      <c r="F27" s="157"/>
      <c r="G27" s="157"/>
      <c r="H27" s="7"/>
      <c r="I27" s="6"/>
    </row>
    <row r="28" spans="1:16" x14ac:dyDescent="0.45">
      <c r="A28" s="15"/>
      <c r="B28" s="16"/>
      <c r="C28" s="17"/>
      <c r="D28" s="18"/>
      <c r="E28" s="19"/>
      <c r="F28" s="19"/>
      <c r="G28" s="19"/>
      <c r="H28" s="18"/>
      <c r="I28" s="6"/>
    </row>
    <row r="29" spans="1:16" customFormat="1" x14ac:dyDescent="0.45"/>
    <row r="30" spans="1:16" ht="18" x14ac:dyDescent="0.55000000000000004">
      <c r="A30" s="159" t="s">
        <v>100</v>
      </c>
      <c r="B30" s="142"/>
      <c r="C30" s="142"/>
      <c r="D30" s="143"/>
      <c r="E30" s="159" t="s">
        <v>101</v>
      </c>
      <c r="F30" s="142"/>
      <c r="G30" s="142"/>
      <c r="H30" s="144"/>
    </row>
    <row r="31" spans="1:16" x14ac:dyDescent="0.45">
      <c r="A31" s="157"/>
      <c r="B31" s="157"/>
      <c r="C31" s="157"/>
      <c r="D31" s="7"/>
      <c r="E31" s="157"/>
      <c r="F31" s="157"/>
      <c r="G31" s="157"/>
      <c r="H31" s="7"/>
      <c r="I31" s="6"/>
    </row>
    <row r="32" spans="1:16" x14ac:dyDescent="0.45">
      <c r="A32" s="157" t="s">
        <v>102</v>
      </c>
      <c r="B32" s="160">
        <f>'Compare your options'!C55</f>
        <v>10</v>
      </c>
      <c r="C32" s="157" t="s">
        <v>73</v>
      </c>
      <c r="D32" s="7"/>
      <c r="E32" s="157" t="s">
        <v>103</v>
      </c>
      <c r="F32" s="161">
        <f>'Compare your options'!C53</f>
        <v>2.960464</v>
      </c>
      <c r="G32" s="157" t="s">
        <v>73</v>
      </c>
      <c r="H32" s="7"/>
      <c r="I32" s="6"/>
    </row>
    <row r="33" spans="1:10" x14ac:dyDescent="0.45">
      <c r="A33" s="157" t="s">
        <v>104</v>
      </c>
      <c r="B33" s="162">
        <f>F17</f>
        <v>8000</v>
      </c>
      <c r="C33" s="157" t="s">
        <v>105</v>
      </c>
      <c r="D33" s="7"/>
      <c r="E33" s="157" t="s">
        <v>106</v>
      </c>
      <c r="F33" s="162">
        <f>F11*F17</f>
        <v>16000</v>
      </c>
      <c r="G33" s="157" t="s">
        <v>105</v>
      </c>
      <c r="H33" s="7"/>
      <c r="I33" s="6"/>
    </row>
    <row r="34" spans="1:10" x14ac:dyDescent="0.45">
      <c r="A34" s="157" t="s">
        <v>107</v>
      </c>
      <c r="B34" s="163">
        <f>B33*B32</f>
        <v>80000</v>
      </c>
      <c r="C34" s="157" t="s">
        <v>105</v>
      </c>
      <c r="D34" s="7"/>
      <c r="E34" s="157" t="s">
        <v>108</v>
      </c>
      <c r="F34" s="163">
        <f>F33*F32</f>
        <v>47367.423999999999</v>
      </c>
      <c r="G34" s="157" t="s">
        <v>105</v>
      </c>
      <c r="H34" s="7"/>
      <c r="I34" s="6"/>
    </row>
    <row r="35" spans="1:10" x14ac:dyDescent="0.45">
      <c r="A35" s="157"/>
      <c r="B35" s="157"/>
      <c r="C35" s="157"/>
      <c r="D35" s="7"/>
      <c r="E35" s="157"/>
      <c r="F35" s="157"/>
      <c r="G35" s="157"/>
      <c r="H35" s="7"/>
      <c r="I35" s="6"/>
    </row>
    <row r="36" spans="1:10" x14ac:dyDescent="0.45">
      <c r="A36" s="15"/>
      <c r="B36" s="16"/>
      <c r="C36" s="17"/>
      <c r="D36" s="18"/>
      <c r="E36" s="19"/>
      <c r="F36" s="19"/>
      <c r="G36" s="19"/>
      <c r="H36" s="7"/>
      <c r="I36" s="6"/>
    </row>
    <row r="37" spans="1:10" x14ac:dyDescent="0.45">
      <c r="A37" s="23"/>
      <c r="B37" s="4"/>
      <c r="C37" s="4"/>
      <c r="D37" s="5"/>
      <c r="E37" s="24"/>
      <c r="F37" s="4"/>
      <c r="G37" s="4"/>
      <c r="H37" s="5"/>
    </row>
    <row r="38" spans="1:10" x14ac:dyDescent="0.45">
      <c r="A38" s="14" t="s">
        <v>109</v>
      </c>
      <c r="B38" s="157"/>
      <c r="C38" s="157"/>
      <c r="D38" s="7"/>
      <c r="E38" s="157"/>
      <c r="F38" s="157"/>
      <c r="G38" s="157"/>
      <c r="H38" s="7"/>
      <c r="J38" s="20"/>
    </row>
    <row r="39" spans="1:10" x14ac:dyDescent="0.45">
      <c r="A39" s="21" t="s">
        <v>110</v>
      </c>
      <c r="B39" s="19"/>
      <c r="C39" s="19"/>
      <c r="D39" s="18"/>
      <c r="E39" s="19"/>
      <c r="F39" s="19"/>
      <c r="G39" s="19"/>
      <c r="H39" s="18"/>
      <c r="J39" s="20"/>
    </row>
    <row r="40" spans="1:10" customFormat="1" x14ac:dyDescent="0.45"/>
    <row r="41" spans="1:10" s="155" customFormat="1" ht="35.25" customHeight="1" x14ac:dyDescent="0.55000000000000004">
      <c r="A41" s="149" t="s">
        <v>111</v>
      </c>
      <c r="B41" s="152"/>
      <c r="C41" s="152"/>
      <c r="D41" s="153"/>
      <c r="E41" s="150" t="s">
        <v>112</v>
      </c>
      <c r="F41" s="152"/>
      <c r="G41" s="152"/>
      <c r="H41" s="154"/>
      <c r="J41" s="156"/>
    </row>
    <row r="42" spans="1:10" x14ac:dyDescent="0.45">
      <c r="A42" s="6" t="s">
        <v>113</v>
      </c>
      <c r="B42" s="25">
        <v>90</v>
      </c>
      <c r="C42" s="2" t="s">
        <v>114</v>
      </c>
      <c r="D42" s="7"/>
      <c r="E42" s="6" t="s">
        <v>113</v>
      </c>
      <c r="F42" s="25">
        <v>20</v>
      </c>
      <c r="G42" s="2" t="s">
        <v>114</v>
      </c>
      <c r="H42" s="7"/>
      <c r="J42" s="20"/>
    </row>
    <row r="43" spans="1:10" x14ac:dyDescent="0.45">
      <c r="A43" s="6" t="s">
        <v>115</v>
      </c>
      <c r="B43" s="46">
        <v>38</v>
      </c>
      <c r="C43" s="2" t="s">
        <v>116</v>
      </c>
      <c r="D43" s="7"/>
      <c r="E43" s="6" t="s">
        <v>115</v>
      </c>
      <c r="F43" s="46">
        <f>B43</f>
        <v>38</v>
      </c>
      <c r="G43" s="2" t="s">
        <v>116</v>
      </c>
      <c r="H43" s="7"/>
      <c r="J43" s="20"/>
    </row>
    <row r="44" spans="1:10" x14ac:dyDescent="0.45">
      <c r="A44" s="6" t="s">
        <v>117</v>
      </c>
      <c r="B44" s="10">
        <f>(B43/60)*B42</f>
        <v>57</v>
      </c>
      <c r="D44" s="7"/>
      <c r="E44" s="6" t="s">
        <v>117</v>
      </c>
      <c r="F44" s="46">
        <f>(F43/60)*F42</f>
        <v>12.666666666666666</v>
      </c>
      <c r="H44" s="7"/>
      <c r="J44" s="20"/>
    </row>
    <row r="45" spans="1:10" x14ac:dyDescent="0.45">
      <c r="A45" s="6" t="s">
        <v>118</v>
      </c>
      <c r="B45" s="22">
        <f>B44*B15</f>
        <v>10363.636363636364</v>
      </c>
      <c r="C45" s="2" t="s">
        <v>105</v>
      </c>
      <c r="D45" s="7"/>
      <c r="E45" s="6" t="s">
        <v>119</v>
      </c>
      <c r="F45" s="22">
        <f>F44*F20</f>
        <v>4606.060606060606</v>
      </c>
      <c r="G45" s="2" t="s">
        <v>105</v>
      </c>
      <c r="H45" s="7"/>
      <c r="J45" s="27"/>
    </row>
    <row r="46" spans="1:10" x14ac:dyDescent="0.45">
      <c r="A46" s="6"/>
      <c r="B46" s="26"/>
      <c r="D46" s="7"/>
      <c r="F46" s="26"/>
      <c r="H46" s="7"/>
    </row>
    <row r="47" spans="1:10" x14ac:dyDescent="0.45">
      <c r="A47" s="6" t="s">
        <v>120</v>
      </c>
      <c r="B47" s="28">
        <f>60/B42</f>
        <v>0.66666666666666663</v>
      </c>
      <c r="C47" s="2" t="s">
        <v>73</v>
      </c>
      <c r="D47" s="7"/>
      <c r="E47" s="6" t="s">
        <v>120</v>
      </c>
      <c r="F47" s="28">
        <f>60/F42</f>
        <v>3</v>
      </c>
      <c r="G47" s="2" t="s">
        <v>73</v>
      </c>
      <c r="H47" s="7"/>
    </row>
    <row r="48" spans="1:10" x14ac:dyDescent="0.45">
      <c r="A48" s="6" t="s">
        <v>121</v>
      </c>
      <c r="B48" s="28">
        <f>8*B47</f>
        <v>5.333333333333333</v>
      </c>
      <c r="C48" s="2" t="s">
        <v>73</v>
      </c>
      <c r="D48" s="7"/>
      <c r="E48" s="6" t="s">
        <v>121</v>
      </c>
      <c r="F48" s="11">
        <f>8*F47</f>
        <v>24</v>
      </c>
      <c r="G48" s="2" t="s">
        <v>73</v>
      </c>
      <c r="H48" s="7"/>
    </row>
    <row r="49" spans="1:10" x14ac:dyDescent="0.45">
      <c r="A49" s="6"/>
      <c r="D49" s="7"/>
      <c r="H49" s="7"/>
    </row>
    <row r="50" spans="1:10" x14ac:dyDescent="0.45">
      <c r="D50" s="7"/>
      <c r="F50" s="36"/>
      <c r="H50" s="7"/>
    </row>
    <row r="51" spans="1:10" x14ac:dyDescent="0.45">
      <c r="A51" s="6" t="str">
        <f>A30</f>
        <v>Investment when TOP pallet are used for Transport Safety</v>
      </c>
      <c r="B51" s="22">
        <f>B34</f>
        <v>80000</v>
      </c>
      <c r="D51" s="7"/>
      <c r="E51" s="2" t="str">
        <f>E30</f>
        <v>Investement when Drumclips are used for Transport Safety</v>
      </c>
      <c r="F51" s="22">
        <f>F34</f>
        <v>47367.423999999999</v>
      </c>
      <c r="H51" s="7"/>
      <c r="J51" s="10"/>
    </row>
    <row r="52" spans="1:10" x14ac:dyDescent="0.45">
      <c r="A52" s="6" t="s">
        <v>118</v>
      </c>
      <c r="B52" s="35">
        <f>B45</f>
        <v>10363.636363636364</v>
      </c>
      <c r="C52" s="19" t="s">
        <v>122</v>
      </c>
      <c r="D52" s="7"/>
      <c r="E52" s="6" t="s">
        <v>119</v>
      </c>
      <c r="F52" s="35">
        <f>F45</f>
        <v>4606.060606060606</v>
      </c>
      <c r="G52" s="19" t="s">
        <v>122</v>
      </c>
      <c r="H52" s="7"/>
    </row>
    <row r="53" spans="1:10" x14ac:dyDescent="0.45">
      <c r="A53" s="2" t="s">
        <v>123</v>
      </c>
      <c r="B53" s="43">
        <f>B51+B52</f>
        <v>90363.636363636368</v>
      </c>
      <c r="D53" s="7"/>
      <c r="E53" s="2" t="s">
        <v>124</v>
      </c>
      <c r="F53" s="42">
        <f>F51+F52</f>
        <v>51973.484606060607</v>
      </c>
      <c r="H53" s="7"/>
    </row>
    <row r="54" spans="1:10" x14ac:dyDescent="0.45">
      <c r="B54" s="36"/>
      <c r="D54" s="7"/>
      <c r="F54" s="36"/>
      <c r="H54" s="7"/>
    </row>
    <row r="55" spans="1:10" x14ac:dyDescent="0.45">
      <c r="A55" s="32"/>
      <c r="B55" s="31"/>
      <c r="C55" s="29"/>
      <c r="D55" s="30"/>
      <c r="F55" s="36"/>
      <c r="G55" s="29"/>
      <c r="H55" s="30"/>
    </row>
    <row r="56" spans="1:10" x14ac:dyDescent="0.45">
      <c r="A56" s="32"/>
      <c r="B56" s="31"/>
      <c r="C56" s="29"/>
      <c r="D56" s="30"/>
      <c r="E56" s="40" t="s">
        <v>125</v>
      </c>
      <c r="F56" s="41">
        <f>F53-B53</f>
        <v>-38390.151757575761</v>
      </c>
      <c r="H56" s="7"/>
    </row>
    <row r="57" spans="1:10" x14ac:dyDescent="0.45">
      <c r="A57" s="32"/>
      <c r="B57" s="31"/>
      <c r="C57" s="29"/>
      <c r="D57" s="30"/>
      <c r="E57" s="40" t="s">
        <v>126</v>
      </c>
      <c r="F57" s="38">
        <f>F24</f>
        <v>0.97511111111111115</v>
      </c>
      <c r="G57" s="20">
        <f>B17</f>
        <v>90000</v>
      </c>
      <c r="H57" s="39" t="s">
        <v>75</v>
      </c>
    </row>
    <row r="58" spans="1:10" x14ac:dyDescent="0.45">
      <c r="A58" s="21"/>
      <c r="B58" s="19"/>
      <c r="C58" s="19"/>
      <c r="D58" s="18"/>
      <c r="E58" s="45" t="s">
        <v>127</v>
      </c>
      <c r="F58" s="37">
        <f>B45-F45</f>
        <v>5757.575757575758</v>
      </c>
      <c r="G58" s="33"/>
      <c r="H58" s="34"/>
    </row>
  </sheetData>
  <pageMargins left="0.7" right="0.7" top="0.75" bottom="0.75" header="0.3" footer="0.3"/>
  <pageSetup paperSize="9" scale="43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</sheetPr>
  <dimension ref="B1:I8"/>
  <sheetViews>
    <sheetView workbookViewId="0">
      <selection activeCell="G10" sqref="G10"/>
    </sheetView>
  </sheetViews>
  <sheetFormatPr defaultColWidth="9.33203125" defaultRowHeight="14.25" x14ac:dyDescent="0.45"/>
  <cols>
    <col min="1" max="1" width="9.33203125" style="2"/>
    <col min="2" max="2" width="27" style="2" customWidth="1"/>
    <col min="3" max="3" width="10.53125" style="2" customWidth="1"/>
    <col min="4" max="6" width="8.86328125" style="2" customWidth="1"/>
    <col min="7" max="8" width="9.86328125" style="2" customWidth="1"/>
    <col min="9" max="16384" width="9.33203125" style="2"/>
  </cols>
  <sheetData>
    <row r="1" spans="2:9" x14ac:dyDescent="0.45">
      <c r="C1" s="268" t="s">
        <v>171</v>
      </c>
      <c r="D1" s="268"/>
      <c r="E1" s="268"/>
      <c r="F1" s="268"/>
      <c r="G1" s="268"/>
      <c r="H1" s="268"/>
      <c r="I1" s="268"/>
    </row>
    <row r="2" spans="2:9" ht="15.75" x14ac:dyDescent="0.5">
      <c r="B2" s="175" t="s">
        <v>141</v>
      </c>
      <c r="C2" s="176"/>
      <c r="D2" s="177" t="s">
        <v>142</v>
      </c>
      <c r="E2" s="177"/>
      <c r="F2" s="177"/>
      <c r="G2" s="177"/>
      <c r="H2" s="178"/>
    </row>
    <row r="3" spans="2:9" ht="22.05" customHeight="1" x14ac:dyDescent="0.5">
      <c r="B3" s="179"/>
      <c r="C3" s="180"/>
      <c r="D3" s="181">
        <v>1000</v>
      </c>
      <c r="E3" s="181">
        <v>3000</v>
      </c>
      <c r="F3" s="181">
        <v>6000</v>
      </c>
      <c r="G3" s="181">
        <v>12000</v>
      </c>
      <c r="H3" s="182">
        <v>24000</v>
      </c>
    </row>
    <row r="4" spans="2:9" ht="15.75" x14ac:dyDescent="0.5">
      <c r="B4" s="183" t="s">
        <v>143</v>
      </c>
      <c r="C4" s="184"/>
      <c r="D4" s="185">
        <v>3.4424000000000001</v>
      </c>
      <c r="E4" s="185">
        <v>3.2702800000000001</v>
      </c>
      <c r="F4" s="185">
        <v>3.09816</v>
      </c>
      <c r="G4" s="185">
        <v>2.960464</v>
      </c>
      <c r="H4" s="185">
        <v>2.7539199999999999</v>
      </c>
    </row>
    <row r="5" spans="2:9" ht="15.75" x14ac:dyDescent="0.5">
      <c r="B5" s="186" t="s">
        <v>144</v>
      </c>
      <c r="C5" s="187"/>
      <c r="D5" s="185">
        <v>3.7232000000000003</v>
      </c>
      <c r="E5" s="185">
        <v>3.5370400000000002</v>
      </c>
      <c r="F5" s="185">
        <v>3.3508800000000001</v>
      </c>
      <c r="G5" s="185">
        <v>3.2019520000000004</v>
      </c>
      <c r="H5" s="185">
        <v>2.97</v>
      </c>
    </row>
    <row r="6" spans="2:9" ht="16.149999999999999" thickBot="1" x14ac:dyDescent="0.55000000000000004">
      <c r="B6" s="188" t="s">
        <v>145</v>
      </c>
      <c r="C6" s="189"/>
      <c r="D6" s="185">
        <v>3.8688000000000002</v>
      </c>
      <c r="E6" s="185">
        <v>3.6753600000000004</v>
      </c>
      <c r="F6" s="185">
        <v>3.4819200000000001</v>
      </c>
      <c r="G6" s="185">
        <v>3.3271680000000003</v>
      </c>
      <c r="H6" s="185">
        <v>3.09504</v>
      </c>
    </row>
    <row r="8" spans="2:9" x14ac:dyDescent="0.45">
      <c r="B8" s="48" t="s">
        <v>170</v>
      </c>
      <c r="D8" s="267">
        <f>'Compare your options'!B16</f>
        <v>46258</v>
      </c>
      <c r="E8" s="267"/>
      <c r="F8" s="267"/>
      <c r="G8" s="267"/>
      <c r="H8" s="267"/>
    </row>
  </sheetData>
  <mergeCells count="2">
    <mergeCell ref="D8:H8"/>
    <mergeCell ref="C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40"/>
  <sheetViews>
    <sheetView workbookViewId="0">
      <selection activeCell="B19" sqref="B19"/>
    </sheetView>
  </sheetViews>
  <sheetFormatPr defaultColWidth="8.6640625" defaultRowHeight="14.25" x14ac:dyDescent="0.45"/>
  <cols>
    <col min="1" max="1" width="8.6640625" style="2"/>
    <col min="2" max="2" width="16.6640625" style="2" customWidth="1"/>
    <col min="3" max="3" width="85.33203125" style="2" customWidth="1"/>
    <col min="4" max="16384" width="8.6640625" style="2"/>
  </cols>
  <sheetData>
    <row r="3" spans="2:3" x14ac:dyDescent="0.45">
      <c r="B3" s="2" t="s">
        <v>128</v>
      </c>
      <c r="C3" s="2" t="s">
        <v>129</v>
      </c>
    </row>
    <row r="4" spans="2:3" x14ac:dyDescent="0.45">
      <c r="B4" s="3" t="s">
        <v>130</v>
      </c>
      <c r="C4" s="3" t="s">
        <v>131</v>
      </c>
    </row>
    <row r="5" spans="2:3" x14ac:dyDescent="0.45">
      <c r="B5" s="2" t="s">
        <v>132</v>
      </c>
      <c r="C5" s="1" t="s">
        <v>133</v>
      </c>
    </row>
    <row r="6" spans="2:3" x14ac:dyDescent="0.45">
      <c r="B6" s="2" t="s">
        <v>134</v>
      </c>
      <c r="C6" s="2" t="s">
        <v>135</v>
      </c>
    </row>
    <row r="7" spans="2:3" x14ac:dyDescent="0.45">
      <c r="B7" s="2" t="s">
        <v>134</v>
      </c>
      <c r="C7" s="2" t="s">
        <v>8</v>
      </c>
    </row>
    <row r="8" spans="2:3" x14ac:dyDescent="0.45">
      <c r="B8" s="2" t="s">
        <v>136</v>
      </c>
      <c r="C8" s="2" t="s">
        <v>137</v>
      </c>
    </row>
    <row r="9" spans="2:3" x14ac:dyDescent="0.45">
      <c r="B9" s="2" t="s">
        <v>136</v>
      </c>
      <c r="C9" s="2" t="s">
        <v>138</v>
      </c>
    </row>
    <row r="10" spans="2:3" x14ac:dyDescent="0.45">
      <c r="B10" s="2" t="s">
        <v>136</v>
      </c>
      <c r="C10" s="2" t="s">
        <v>139</v>
      </c>
    </row>
    <row r="13" spans="2:3" x14ac:dyDescent="0.45">
      <c r="B13" s="2" t="s">
        <v>140</v>
      </c>
    </row>
    <row r="14" spans="2:3" x14ac:dyDescent="0.45">
      <c r="B14" s="2">
        <v>2</v>
      </c>
    </row>
    <row r="15" spans="2:3" x14ac:dyDescent="0.45">
      <c r="B15" s="2">
        <v>4</v>
      </c>
    </row>
    <row r="18" spans="2:2" x14ac:dyDescent="0.45">
      <c r="B18" s="126" t="str">
        <f>INDEX('Code table'!$B$5:$B$10,MATCH('Drumclip Cost Saving Calculator'!E32,'Code table'!$C$5:$C$10,0))</f>
        <v>DC18A Red</v>
      </c>
    </row>
    <row r="20" spans="2:2" x14ac:dyDescent="0.45">
      <c r="B20" s="48">
        <v>1</v>
      </c>
    </row>
    <row r="21" spans="2:2" x14ac:dyDescent="0.45">
      <c r="B21" s="2">
        <f>B20+1</f>
        <v>2</v>
      </c>
    </row>
    <row r="22" spans="2:2" x14ac:dyDescent="0.45">
      <c r="B22" s="2">
        <f t="shared" ref="B22:B39" si="0">B21+1</f>
        <v>3</v>
      </c>
    </row>
    <row r="23" spans="2:2" x14ac:dyDescent="0.45">
      <c r="B23" s="2">
        <f t="shared" si="0"/>
        <v>4</v>
      </c>
    </row>
    <row r="24" spans="2:2" x14ac:dyDescent="0.45">
      <c r="B24" s="2">
        <f t="shared" si="0"/>
        <v>5</v>
      </c>
    </row>
    <row r="25" spans="2:2" x14ac:dyDescent="0.45">
      <c r="B25" s="2">
        <f t="shared" si="0"/>
        <v>6</v>
      </c>
    </row>
    <row r="26" spans="2:2" x14ac:dyDescent="0.45">
      <c r="B26" s="2">
        <f t="shared" si="0"/>
        <v>7</v>
      </c>
    </row>
    <row r="27" spans="2:2" x14ac:dyDescent="0.45">
      <c r="B27" s="2">
        <f t="shared" si="0"/>
        <v>8</v>
      </c>
    </row>
    <row r="28" spans="2:2" x14ac:dyDescent="0.45">
      <c r="B28" s="2">
        <f t="shared" si="0"/>
        <v>9</v>
      </c>
    </row>
    <row r="29" spans="2:2" x14ac:dyDescent="0.45">
      <c r="B29" s="2">
        <f t="shared" si="0"/>
        <v>10</v>
      </c>
    </row>
    <row r="30" spans="2:2" x14ac:dyDescent="0.45">
      <c r="B30" s="2">
        <f t="shared" si="0"/>
        <v>11</v>
      </c>
    </row>
    <row r="31" spans="2:2" x14ac:dyDescent="0.45">
      <c r="B31" s="2">
        <f t="shared" si="0"/>
        <v>12</v>
      </c>
    </row>
    <row r="32" spans="2:2" x14ac:dyDescent="0.45">
      <c r="B32" s="2">
        <f t="shared" si="0"/>
        <v>13</v>
      </c>
    </row>
    <row r="33" spans="2:2" x14ac:dyDescent="0.45">
      <c r="B33" s="2">
        <f t="shared" si="0"/>
        <v>14</v>
      </c>
    </row>
    <row r="34" spans="2:2" x14ac:dyDescent="0.45">
      <c r="B34" s="2">
        <f t="shared" si="0"/>
        <v>15</v>
      </c>
    </row>
    <row r="35" spans="2:2" x14ac:dyDescent="0.45">
      <c r="B35" s="2">
        <f t="shared" si="0"/>
        <v>16</v>
      </c>
    </row>
    <row r="36" spans="2:2" x14ac:dyDescent="0.45">
      <c r="B36" s="2">
        <f t="shared" si="0"/>
        <v>17</v>
      </c>
    </row>
    <row r="37" spans="2:2" x14ac:dyDescent="0.45">
      <c r="B37" s="2">
        <f t="shared" si="0"/>
        <v>18</v>
      </c>
    </row>
    <row r="38" spans="2:2" x14ac:dyDescent="0.45">
      <c r="B38" s="2">
        <f t="shared" si="0"/>
        <v>19</v>
      </c>
    </row>
    <row r="39" spans="2:2" x14ac:dyDescent="0.45">
      <c r="B39" s="2">
        <f t="shared" si="0"/>
        <v>20</v>
      </c>
    </row>
    <row r="40" spans="2:2" x14ac:dyDescent="0.45">
      <c r="B40" s="48" t="s">
        <v>189</v>
      </c>
    </row>
  </sheetData>
  <conditionalFormatting sqref="B18">
    <cfRule type="containsText" dxfId="3" priority="1" operator="containsText" text="red green orange">
      <formula>NOT(ISERROR(SEARCH("red green orange",B18)))</formula>
    </cfRule>
    <cfRule type="expression" dxfId="2" priority="2">
      <formula>ISNUMBER(SEARCH("Orange",B18))</formula>
    </cfRule>
    <cfRule type="containsText" dxfId="1" priority="3" operator="containsText" text="red">
      <formula>NOT(ISERROR(SEARCH("red",B18)))</formula>
    </cfRule>
    <cfRule type="expression" dxfId="0" priority="4">
      <formula>ISNUMBER(SEARCH("Green",B18))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223d8f-58ab-4d90-9d3f-816a31010292">
      <Terms xmlns="http://schemas.microsoft.com/office/infopath/2007/PartnerControls"/>
    </lcf76f155ced4ddcb4097134ff3c332f>
    <TaxCatchAll xmlns="931065a3-9b5b-40f6-a774-e563bec092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57115E6F88542AB420A0D6A438CD9" ma:contentTypeVersion="13" ma:contentTypeDescription="Een nieuw document maken." ma:contentTypeScope="" ma:versionID="b28f9420a73c37483a403a653c41c256">
  <xsd:schema xmlns:xsd="http://www.w3.org/2001/XMLSchema" xmlns:xs="http://www.w3.org/2001/XMLSchema" xmlns:p="http://schemas.microsoft.com/office/2006/metadata/properties" xmlns:ns2="50223d8f-58ab-4d90-9d3f-816a31010292" xmlns:ns3="931065a3-9b5b-40f6-a774-e563bec092ff" targetNamespace="http://schemas.microsoft.com/office/2006/metadata/properties" ma:root="true" ma:fieldsID="99270e1f04b84ad3b509cea73dcf1ae2" ns2:_="" ns3:_="">
    <xsd:import namespace="50223d8f-58ab-4d90-9d3f-816a31010292"/>
    <xsd:import namespace="931065a3-9b5b-40f6-a774-e563bec092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23d8f-58ab-4d90-9d3f-816a31010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b6cf3a-de14-49d5-807a-3dd8c448a4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065a3-9b5b-40f6-a774-e563bec092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df8ce24-a5bd-4e6e-af56-77dcd549b3ce}" ma:internalName="TaxCatchAll" ma:showField="CatchAllData" ma:web="931065a3-9b5b-40f6-a774-e563bec092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C17FA2-C0DA-452B-A1D0-6925302B5B68}">
  <ds:schemaRefs>
    <ds:schemaRef ds:uri="http://schemas.microsoft.com/office/2006/metadata/properties"/>
    <ds:schemaRef ds:uri="http://schemas.microsoft.com/office/infopath/2007/PartnerControls"/>
    <ds:schemaRef ds:uri="50223d8f-58ab-4d90-9d3f-816a31010292"/>
    <ds:schemaRef ds:uri="931065a3-9b5b-40f6-a774-e563bec092ff"/>
  </ds:schemaRefs>
</ds:datastoreItem>
</file>

<file path=customXml/itemProps2.xml><?xml version="1.0" encoding="utf-8"?>
<ds:datastoreItem xmlns:ds="http://schemas.openxmlformats.org/officeDocument/2006/customXml" ds:itemID="{A33030B5-461D-4028-B4D7-9F0F6BA3377F}"/>
</file>

<file path=customXml/itemProps3.xml><?xml version="1.0" encoding="utf-8"?>
<ds:datastoreItem xmlns:ds="http://schemas.openxmlformats.org/officeDocument/2006/customXml" ds:itemID="{5F182C01-E11D-4837-A05C-CE4D730553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Drumclip Cost Saving Calculator</vt:lpstr>
      <vt:lpstr>Compare your options</vt:lpstr>
      <vt:lpstr>Savings current vs. Drumclip</vt:lpstr>
      <vt:lpstr>Price Quotation</vt:lpstr>
      <vt:lpstr>Code table</vt:lpstr>
      <vt:lpstr>'Drumclip Cost Saving Calculator'!Print_Area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de Koning</dc:creator>
  <cp:lastModifiedBy>Morgan Ward</cp:lastModifiedBy>
  <cp:lastPrinted>2026-10-12T09:59:39Z</cp:lastPrinted>
  <dcterms:created xsi:type="dcterms:W3CDTF">2026-08-26T10:00:55Z</dcterms:created>
  <dcterms:modified xsi:type="dcterms:W3CDTF">2026-10-28T15:32:42Z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0x01010027257115E6F88542AB420A0D6A438CD9</vt:lpwstr>
  </property>
  <property fmtid="{D5CDD505-2E9C-101B-9397-08002B2CF9AE}" pid="3" name="MediaServiceImageTags">
    <vt:lpwstr/>
  </property>
</Properties>
</file>